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5" windowWidth="12390" windowHeight="8985" firstSheet="1" activeTab="3"/>
  </bookViews>
  <sheets>
    <sheet name="VXXXXXXXXXXXXXXXXXXXXXXXX" sheetId="1" state="veryHidden" r:id="rId1"/>
    <sheet name="안내" sheetId="2" r:id="rId2"/>
    <sheet name="유형" sheetId="3" r:id="rId3"/>
    <sheet name="1번" sheetId="4" r:id="rId4"/>
    <sheet name="2번" sheetId="5" r:id="rId5"/>
    <sheet name="3번" sheetId="6" r:id="rId6"/>
    <sheet name="4번" sheetId="7" r:id="rId7"/>
    <sheet name="5번" sheetId="8" r:id="rId8"/>
    <sheet name="분석1" sheetId="9" r:id="rId9"/>
    <sheet name="분석2" sheetId="10" r:id="rId10"/>
    <sheet name="분석3" sheetId="11" r:id="rId11"/>
    <sheet name="분석4" sheetId="12" r:id="rId12"/>
    <sheet name="분석5" sheetId="13" r:id="rId13"/>
  </sheets>
  <definedNames>
    <definedName name="인쇄">'Macro1'!$A$1</definedName>
    <definedName name="인쇄1">'Macro1'!$C$1</definedName>
    <definedName name="인쇄3">'Macro1'!$D$1</definedName>
    <definedName name="파일닫기">'Macro1'!$B$1</definedName>
  </definedNames>
  <calcPr fullCalcOnLoad="1"/>
</workbook>
</file>

<file path=xl/sharedStrings.xml><?xml version="1.0" encoding="utf-8"?>
<sst xmlns="http://schemas.openxmlformats.org/spreadsheetml/2006/main" count="174" uniqueCount="90">
  <si>
    <t>인쇄</t>
  </si>
  <si>
    <t>파일닫기</t>
  </si>
  <si>
    <t>인쇄1</t>
  </si>
  <si>
    <t>인쇄3</t>
  </si>
  <si>
    <t>MOTOR회전수</t>
  </si>
  <si>
    <t>Z1</t>
  </si>
  <si>
    <t>Z2</t>
  </si>
  <si>
    <t>Z3</t>
  </si>
  <si>
    <t>Z4</t>
  </si>
  <si>
    <t>Z5</t>
  </si>
  <si>
    <t>Z6</t>
  </si>
  <si>
    <t>증속기어</t>
  </si>
  <si>
    <t>1단압축부</t>
  </si>
  <si>
    <t>2단압축부</t>
  </si>
  <si>
    <t>증속PINION</t>
  </si>
  <si>
    <t>MALE ROTOR</t>
  </si>
  <si>
    <t>FEMALE ROTOR</t>
  </si>
  <si>
    <t>TIMMING GEAR 1</t>
  </si>
  <si>
    <t>TIMMING GEAR 2</t>
  </si>
  <si>
    <t>#1 MOTOR회전수</t>
  </si>
  <si>
    <t>#2 MOTOR회전수</t>
  </si>
  <si>
    <t>태양 GEAR</t>
  </si>
  <si>
    <t>유성GEAR 1</t>
  </si>
  <si>
    <t>유성GEAR 2</t>
  </si>
  <si>
    <t>RING GEAR 내치</t>
  </si>
  <si>
    <t>RING GEAR 외치</t>
  </si>
  <si>
    <t>GEAR FREQENCIES LIST</t>
  </si>
  <si>
    <t>GEAR MESHING주파수</t>
  </si>
  <si>
    <t>GEAR</t>
  </si>
  <si>
    <t>치면마모</t>
  </si>
  <si>
    <t>편접속마모</t>
  </si>
  <si>
    <t>편심 및 피치오차</t>
  </si>
  <si>
    <t>BACK LACK</t>
  </si>
  <si>
    <t>비고</t>
  </si>
  <si>
    <t>fm1</t>
  </si>
  <si>
    <t>1/N*Fz</t>
  </si>
  <si>
    <t>Fz</t>
  </si>
  <si>
    <t>N*F0</t>
  </si>
  <si>
    <t>Fz+-N*F0</t>
  </si>
  <si>
    <t>fm2</t>
  </si>
  <si>
    <t>Z2/Z1</t>
  </si>
  <si>
    <t>fm3</t>
  </si>
  <si>
    <t>fm4</t>
  </si>
  <si>
    <t>회전주파수</t>
  </si>
  <si>
    <t>fr1</t>
  </si>
  <si>
    <t>fr2</t>
  </si>
  <si>
    <t>Z4/Z3</t>
  </si>
  <si>
    <t>fr3</t>
  </si>
  <si>
    <t>fr4</t>
  </si>
  <si>
    <t>Z6/Z5</t>
  </si>
  <si>
    <t>증속기어fm</t>
  </si>
  <si>
    <t>1단TIMMING기어fm</t>
  </si>
  <si>
    <t>증속GEAR</t>
  </si>
  <si>
    <t>2단TIMMING기어fm</t>
  </si>
  <si>
    <t>1단ROTOR fm</t>
  </si>
  <si>
    <t>2단ROTOR fm</t>
  </si>
  <si>
    <t>1단TIMING</t>
  </si>
  <si>
    <t>기본회전 fr</t>
  </si>
  <si>
    <t>1단MALE ROTOR fr</t>
  </si>
  <si>
    <t>1단FEMALE ROTOR fr</t>
  </si>
  <si>
    <t>2단TIMING</t>
  </si>
  <si>
    <t>2단MALE ROTOR fr</t>
  </si>
  <si>
    <t>2단FEMALE ROTOR fr</t>
  </si>
  <si>
    <t>1단ROTOR</t>
  </si>
  <si>
    <t>2단ROTOR</t>
  </si>
  <si>
    <t>유성감속기 진동주파수 분석표</t>
  </si>
  <si>
    <t>M1 MOTOR구동시</t>
  </si>
  <si>
    <t>M2 MOTOR구동시</t>
  </si>
  <si>
    <t>M1+M2 MOTOR구동시</t>
  </si>
  <si>
    <t>M1 구동입출측 fr1</t>
  </si>
  <si>
    <t>M2 구동입출측 fr1</t>
  </si>
  <si>
    <t xml:space="preserve">유성케리어회전출력 </t>
  </si>
  <si>
    <t>태양 GEAR 회전 fr2</t>
  </si>
  <si>
    <t xml:space="preserve">태양 GEAR 회전 </t>
  </si>
  <si>
    <t>정지상태</t>
  </si>
  <si>
    <t>링 GEAR 회전</t>
  </si>
  <si>
    <t>링GEAR 회전 fr2</t>
  </si>
  <si>
    <t>유성케리어회전 fr3</t>
  </si>
  <si>
    <t>유성감속기 출력측회전</t>
  </si>
  <si>
    <t>GEAR 물림주파수</t>
  </si>
  <si>
    <t>유성감속기출력 치 물림수</t>
  </si>
  <si>
    <t>입력 GEAR물림 1단 fm1</t>
  </si>
  <si>
    <t>입력GEAR물림 fm1</t>
  </si>
  <si>
    <t>M1 + M2 회전</t>
  </si>
  <si>
    <t>입력 GEAR물림 3단 fm2</t>
  </si>
  <si>
    <t>링,유성GEAR물림 fm2</t>
  </si>
  <si>
    <t>태양/유성 물림수fm3</t>
  </si>
  <si>
    <t>유성,태양치물림 fm3</t>
  </si>
  <si>
    <t>유성/링 물림수fm4</t>
  </si>
  <si>
    <t>유성감속기치물림fm5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</si>
</sst>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₩&quot;* #,##0_ ;_ &quot;₩&quot;* \-#,##0_ ;_ &quot;₩&quot;* &quot;-&quot;_ ;_ @_ "/>
    <numFmt numFmtId="177" formatCode="_ * #,##0_ ;_ * \-#,##0_ ;_ * &quot;-&quot;_ ;_ @_ "/>
    <numFmt numFmtId="178" formatCode="_ &quot;₩&quot;* #,##0.00_ ;_ &quot;₩&quot;* \-#,##0.00_ ;_ &quot;₩&quot;* &quot;-&quot;??_ ;_ @_ "/>
    <numFmt numFmtId="179" formatCode="_ * #,##0.00_ ;_ * \-#,##0.00_ ;_ * &quot;-&quot;??_ ;_ @_ "/>
    <numFmt numFmtId="180" formatCode="0.0"/>
    <numFmt numFmtId="181" formatCode="\(0.0%\);\(\-0.0%\)"/>
  </numFmts>
  <fonts count="77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2"/>
      <color indexed="8"/>
      <name val="바탕체"/>
      <family val="1"/>
    </font>
    <font>
      <sz val="24"/>
      <color indexed="8"/>
      <name val="바탕체"/>
      <family val="1"/>
    </font>
    <font>
      <sz val="20"/>
      <color indexed="9"/>
      <name val="굴림체"/>
      <family val="3"/>
    </font>
    <font>
      <sz val="20"/>
      <name val="바탕체"/>
      <family val="1"/>
    </font>
    <font>
      <sz val="10"/>
      <color indexed="8"/>
      <name val="굴림체"/>
      <family val="3"/>
    </font>
    <font>
      <b/>
      <sz val="16"/>
      <name val="굴림체"/>
      <family val="3"/>
    </font>
    <font>
      <sz val="18"/>
      <color indexed="8"/>
      <name val="굴림체"/>
      <family val="3"/>
    </font>
    <font>
      <sz val="20"/>
      <color indexed="13"/>
      <name val="굴림체"/>
      <family val="3"/>
    </font>
    <font>
      <sz val="20"/>
      <color indexed="8"/>
      <name val="바탕체"/>
      <family val="1"/>
    </font>
    <font>
      <sz val="16"/>
      <color indexed="9"/>
      <name val="굴림체"/>
      <family val="3"/>
    </font>
    <font>
      <sz val="16"/>
      <color indexed="13"/>
      <name val="굴림체"/>
      <family val="3"/>
    </font>
    <font>
      <sz val="14"/>
      <name val="바탕체"/>
      <family val="1"/>
    </font>
    <font>
      <sz val="14"/>
      <color indexed="8"/>
      <name val="바탕체"/>
      <family val="1"/>
    </font>
    <font>
      <sz val="16"/>
      <name val="바탕체"/>
      <family val="1"/>
    </font>
    <font>
      <sz val="16"/>
      <name val="굴림체"/>
      <family val="3"/>
    </font>
    <font>
      <sz val="12"/>
      <name val="굴림체"/>
      <family val="3"/>
    </font>
    <font>
      <sz val="10"/>
      <name val="굴림체"/>
      <family val="3"/>
    </font>
    <font>
      <sz val="10"/>
      <color indexed="10"/>
      <name val="굴림체"/>
      <family val="3"/>
    </font>
    <font>
      <b/>
      <sz val="10"/>
      <name val="Helv"/>
      <family val="2"/>
    </font>
    <font>
      <sz val="10"/>
      <name val="MS Sans Serif"/>
      <family val="2"/>
    </font>
    <font>
      <sz val="10"/>
      <name val="Geneva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8"/>
      <name val="바탕체"/>
      <family val="1"/>
    </font>
    <font>
      <u val="single"/>
      <sz val="12"/>
      <color indexed="12"/>
      <name val="바탕체"/>
      <family val="1"/>
    </font>
    <font>
      <u val="single"/>
      <sz val="12"/>
      <color indexed="36"/>
      <name val="바탕체"/>
      <family val="1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10"/>
      <name val="맑은 고딕"/>
      <family val="3"/>
    </font>
    <font>
      <sz val="11"/>
      <color indexed="10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50"/>
      <color indexed="9"/>
      <name val="한양헤드라인"/>
      <family val="1"/>
    </font>
    <font>
      <sz val="50"/>
      <color indexed="9"/>
      <name val="맑은 고딕"/>
      <family val="3"/>
    </font>
    <font>
      <b/>
      <sz val="20"/>
      <color indexed="8"/>
      <name val="굴림체"/>
      <family val="3"/>
    </font>
    <font>
      <sz val="40"/>
      <color indexed="8"/>
      <name val="맑은 고딕"/>
      <family val="3"/>
    </font>
    <font>
      <sz val="20"/>
      <color indexed="9"/>
      <name val="한양헤드라인"/>
      <family val="1"/>
    </font>
    <font>
      <b/>
      <sz val="28"/>
      <color indexed="9"/>
      <name val="굴림체"/>
      <family val="3"/>
    </font>
    <font>
      <sz val="20"/>
      <color indexed="11"/>
      <name val="굴림체"/>
      <family val="3"/>
    </font>
    <font>
      <sz val="20"/>
      <color indexed="8"/>
      <name val="굴림체"/>
      <family val="3"/>
    </font>
    <font>
      <b/>
      <sz val="28"/>
      <color indexed="13"/>
      <name val="굴림체"/>
      <family val="3"/>
    </font>
    <font>
      <b/>
      <sz val="28"/>
      <color indexed="27"/>
      <name val="굴림체"/>
      <family val="3"/>
    </font>
    <font>
      <b/>
      <sz val="28"/>
      <color indexed="63"/>
      <name val="굴림체"/>
      <family val="3"/>
    </font>
    <font>
      <sz val="18"/>
      <color indexed="9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31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6" fillId="26" borderId="9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>
      <alignment/>
      <protection/>
    </xf>
    <xf numFmtId="0" fontId="23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38" fontId="26" fillId="33" borderId="0" applyNumberFormat="0" applyBorder="0" applyAlignment="0" applyProtection="0"/>
    <xf numFmtId="0" fontId="27" fillId="0" borderId="0">
      <alignment horizontal="left"/>
      <protection/>
    </xf>
    <xf numFmtId="10" fontId="26" fillId="33" borderId="10" applyNumberFormat="0" applyBorder="0" applyAlignment="0" applyProtection="0"/>
    <xf numFmtId="0" fontId="28" fillId="0" borderId="11">
      <alignment/>
      <protection/>
    </xf>
    <xf numFmtId="181" fontId="0" fillId="0" borderId="0">
      <alignment/>
      <protection/>
    </xf>
    <xf numFmtId="0" fontId="22" fillId="0" borderId="0">
      <alignment/>
      <protection/>
    </xf>
    <xf numFmtId="10" fontId="25" fillId="0" borderId="0" applyFont="0" applyFill="0" applyBorder="0" applyAlignment="0" applyProtection="0"/>
    <xf numFmtId="0" fontId="28" fillId="0" borderId="0">
      <alignment/>
      <protection/>
    </xf>
  </cellStyleXfs>
  <cellXfs count="90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6" fillId="38" borderId="0" xfId="0" applyFont="1" applyFill="1" applyAlignment="1">
      <alignment/>
    </xf>
    <xf numFmtId="0" fontId="6" fillId="38" borderId="0" xfId="0" applyFont="1" applyFill="1" applyAlignment="1">
      <alignment horizontal="center"/>
    </xf>
    <xf numFmtId="0" fontId="7" fillId="39" borderId="0" xfId="0" applyFont="1" applyFill="1" applyAlignment="1">
      <alignment/>
    </xf>
    <xf numFmtId="0" fontId="0" fillId="40" borderId="0" xfId="0" applyFill="1" applyAlignment="1">
      <alignment/>
    </xf>
    <xf numFmtId="0" fontId="8" fillId="41" borderId="10" xfId="0" applyFont="1" applyFill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centerContinuous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 quotePrefix="1">
      <alignment horizontal="left"/>
    </xf>
    <xf numFmtId="0" fontId="8" fillId="33" borderId="1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0" xfId="0" applyFont="1" applyFill="1" applyBorder="1" applyAlignment="1" quotePrefix="1">
      <alignment horizontal="centerContinuous"/>
    </xf>
    <xf numFmtId="180" fontId="8" fillId="33" borderId="10" xfId="0" applyNumberFormat="1" applyFont="1" applyFill="1" applyBorder="1" applyAlignment="1">
      <alignment/>
    </xf>
    <xf numFmtId="180" fontId="8" fillId="33" borderId="0" xfId="0" applyNumberFormat="1" applyFont="1" applyFill="1" applyBorder="1" applyAlignment="1">
      <alignment/>
    </xf>
    <xf numFmtId="180" fontId="8" fillId="33" borderId="13" xfId="0" applyNumberFormat="1" applyFont="1" applyFill="1" applyBorder="1" applyAlignment="1">
      <alignment/>
    </xf>
    <xf numFmtId="180" fontId="8" fillId="33" borderId="12" xfId="0" applyNumberFormat="1" applyFont="1" applyFill="1" applyBorder="1" applyAlignment="1">
      <alignment/>
    </xf>
    <xf numFmtId="180" fontId="8" fillId="33" borderId="14" xfId="0" applyNumberFormat="1" applyFont="1" applyFill="1" applyBorder="1" applyAlignment="1">
      <alignment/>
    </xf>
    <xf numFmtId="0" fontId="8" fillId="41" borderId="12" xfId="0" applyFont="1" applyFill="1" applyBorder="1" applyAlignment="1">
      <alignment horizontal="center"/>
    </xf>
    <xf numFmtId="0" fontId="4" fillId="41" borderId="13" xfId="0" applyFont="1" applyFill="1" applyBorder="1" applyAlignment="1">
      <alignment/>
    </xf>
    <xf numFmtId="0" fontId="4" fillId="41" borderId="12" xfId="0" applyFont="1" applyFill="1" applyBorder="1" applyAlignment="1">
      <alignment horizontal="center"/>
    </xf>
    <xf numFmtId="0" fontId="8" fillId="41" borderId="14" xfId="0" applyFont="1" applyFill="1" applyBorder="1" applyAlignment="1">
      <alignment/>
    </xf>
    <xf numFmtId="0" fontId="4" fillId="41" borderId="14" xfId="0" applyFont="1" applyFill="1" applyBorder="1" applyAlignment="1">
      <alignment/>
    </xf>
    <xf numFmtId="0" fontId="8" fillId="41" borderId="13" xfId="0" applyFont="1" applyFill="1" applyBorder="1" applyAlignment="1">
      <alignment/>
    </xf>
    <xf numFmtId="0" fontId="8" fillId="33" borderId="15" xfId="0" applyFont="1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180" fontId="8" fillId="33" borderId="17" xfId="0" applyNumberFormat="1" applyFont="1" applyFill="1" applyBorder="1" applyAlignment="1">
      <alignment/>
    </xf>
    <xf numFmtId="180" fontId="8" fillId="33" borderId="18" xfId="0" applyNumberFormat="1" applyFont="1" applyFill="1" applyBorder="1" applyAlignment="1">
      <alignment/>
    </xf>
    <xf numFmtId="180" fontId="8" fillId="33" borderId="19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180" fontId="8" fillId="33" borderId="21" xfId="0" applyNumberFormat="1" applyFont="1" applyFill="1" applyBorder="1" applyAlignment="1">
      <alignment/>
    </xf>
    <xf numFmtId="180" fontId="8" fillId="33" borderId="22" xfId="0" applyNumberFormat="1" applyFont="1" applyFill="1" applyBorder="1" applyAlignment="1">
      <alignment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6" borderId="0" xfId="0" applyFont="1" applyFill="1" applyAlignment="1">
      <alignment/>
    </xf>
    <xf numFmtId="0" fontId="10" fillId="33" borderId="0" xfId="0" applyFont="1" applyFill="1" applyAlignment="1">
      <alignment horizontal="centerContinuous"/>
    </xf>
    <xf numFmtId="0" fontId="0" fillId="42" borderId="0" xfId="0" applyFill="1" applyAlignment="1">
      <alignment/>
    </xf>
    <xf numFmtId="0" fontId="7" fillId="42" borderId="0" xfId="0" applyFont="1" applyFill="1" applyAlignment="1">
      <alignment/>
    </xf>
    <xf numFmtId="0" fontId="6" fillId="42" borderId="0" xfId="0" applyFont="1" applyFill="1" applyAlignment="1">
      <alignment horizontal="center"/>
    </xf>
    <xf numFmtId="0" fontId="11" fillId="42" borderId="0" xfId="0" applyFont="1" applyFill="1" applyAlignment="1">
      <alignment/>
    </xf>
    <xf numFmtId="0" fontId="11" fillId="42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13" fillId="37" borderId="0" xfId="0" applyFont="1" applyFill="1" applyAlignment="1">
      <alignment horizontal="left"/>
    </xf>
    <xf numFmtId="0" fontId="7" fillId="37" borderId="0" xfId="0" applyFont="1" applyFill="1" applyAlignment="1">
      <alignment/>
    </xf>
    <xf numFmtId="0" fontId="0" fillId="37" borderId="0" xfId="0" applyFill="1" applyAlignment="1">
      <alignment horizontal="left"/>
    </xf>
    <xf numFmtId="0" fontId="14" fillId="37" borderId="0" xfId="0" applyFont="1" applyFill="1" applyAlignment="1">
      <alignment horizontal="left"/>
    </xf>
    <xf numFmtId="0" fontId="14" fillId="37" borderId="0" xfId="0" applyFont="1" applyFill="1" applyAlignment="1">
      <alignment horizontal="center"/>
    </xf>
    <xf numFmtId="0" fontId="15" fillId="39" borderId="0" xfId="0" applyFont="1" applyFill="1" applyAlignment="1">
      <alignment/>
    </xf>
    <xf numFmtId="0" fontId="15" fillId="41" borderId="0" xfId="0" applyFont="1" applyFill="1" applyAlignment="1">
      <alignment/>
    </xf>
    <xf numFmtId="0" fontId="16" fillId="41" borderId="0" xfId="0" applyFont="1" applyFill="1" applyAlignment="1">
      <alignment/>
    </xf>
    <xf numFmtId="0" fontId="15" fillId="43" borderId="0" xfId="0" applyFont="1" applyFill="1" applyAlignment="1">
      <alignment/>
    </xf>
    <xf numFmtId="0" fontId="14" fillId="37" borderId="0" xfId="0" applyFont="1" applyFill="1" applyAlignment="1" quotePrefix="1">
      <alignment horizontal="left"/>
    </xf>
    <xf numFmtId="0" fontId="8" fillId="33" borderId="10" xfId="0" applyFont="1" applyFill="1" applyBorder="1" applyAlignment="1">
      <alignment horizontal="left"/>
    </xf>
    <xf numFmtId="0" fontId="8" fillId="41" borderId="12" xfId="0" applyFont="1" applyFill="1" applyBorder="1" applyAlignment="1" quotePrefix="1">
      <alignment horizontal="left"/>
    </xf>
    <xf numFmtId="180" fontId="8" fillId="33" borderId="20" xfId="0" applyNumberFormat="1" applyFont="1" applyFill="1" applyBorder="1" applyAlignment="1">
      <alignment/>
    </xf>
    <xf numFmtId="0" fontId="0" fillId="44" borderId="0" xfId="0" applyFill="1" applyAlignment="1">
      <alignment/>
    </xf>
    <xf numFmtId="0" fontId="18" fillId="44" borderId="0" xfId="0" applyFont="1" applyFill="1" applyAlignment="1">
      <alignment/>
    </xf>
    <xf numFmtId="0" fontId="17" fillId="33" borderId="10" xfId="0" applyFont="1" applyFill="1" applyBorder="1" applyAlignment="1">
      <alignment/>
    </xf>
    <xf numFmtId="0" fontId="0" fillId="44" borderId="0" xfId="0" applyFont="1" applyFill="1" applyBorder="1" applyAlignment="1">
      <alignment/>
    </xf>
    <xf numFmtId="0" fontId="17" fillId="41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19" fillId="39" borderId="15" xfId="0" applyFont="1" applyFill="1" applyBorder="1" applyAlignment="1">
      <alignment horizontal="centerContinuous"/>
    </xf>
    <xf numFmtId="0" fontId="19" fillId="39" borderId="16" xfId="0" applyFont="1" applyFill="1" applyBorder="1" applyAlignment="1">
      <alignment horizontal="centerContinuous"/>
    </xf>
    <xf numFmtId="0" fontId="20" fillId="39" borderId="15" xfId="0" applyFont="1" applyFill="1" applyBorder="1" applyAlignment="1">
      <alignment horizontal="centerContinuous"/>
    </xf>
    <xf numFmtId="0" fontId="20" fillId="39" borderId="16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180" fontId="20" fillId="33" borderId="10" xfId="0" applyNumberFormat="1" applyFont="1" applyFill="1" applyBorder="1" applyAlignment="1">
      <alignment/>
    </xf>
    <xf numFmtId="180" fontId="0" fillId="33" borderId="10" xfId="0" applyNumberFormat="1" applyFill="1" applyBorder="1" applyAlignment="1">
      <alignment/>
    </xf>
    <xf numFmtId="180" fontId="20" fillId="33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/>
    </xf>
    <xf numFmtId="180" fontId="20" fillId="33" borderId="10" xfId="0" applyNumberFormat="1" applyFont="1" applyFill="1" applyBorder="1" applyAlignment="1">
      <alignment horizontal="right"/>
    </xf>
    <xf numFmtId="0" fontId="21" fillId="33" borderId="0" xfId="0" applyFont="1" applyFill="1" applyAlignment="1">
      <alignment/>
    </xf>
    <xf numFmtId="180" fontId="0" fillId="0" borderId="10" xfId="0" applyNumberFormat="1" applyBorder="1" applyAlignment="1">
      <alignment/>
    </xf>
    <xf numFmtId="180" fontId="8" fillId="33" borderId="0" xfId="0" applyNumberFormat="1" applyFont="1" applyFill="1" applyAlignment="1">
      <alignment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10월2주 " xfId="62"/>
    <cellStyle name="콤마_10월2주 " xfId="63"/>
    <cellStyle name="Currency" xfId="64"/>
    <cellStyle name="Currency [0]" xfId="65"/>
    <cellStyle name="Hyperlink" xfId="66"/>
    <cellStyle name="category" xfId="67"/>
    <cellStyle name="Comma [0]_제조1부1과 현황 " xfId="68"/>
    <cellStyle name="Comma_5 Series SW" xfId="69"/>
    <cellStyle name="Currency [0]_제조1부1과 현황 " xfId="70"/>
    <cellStyle name="Currency_제조1부1과 현황 " xfId="71"/>
    <cellStyle name="Grey" xfId="72"/>
    <cellStyle name="HEADER" xfId="73"/>
    <cellStyle name="Input [yellow]" xfId="74"/>
    <cellStyle name="Model" xfId="75"/>
    <cellStyle name="Normal - Style1" xfId="76"/>
    <cellStyle name="Normal_5 Series SW" xfId="77"/>
    <cellStyle name="Percent [2]" xfId="78"/>
    <cellStyle name="subhead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9525</xdr:rowOff>
    </xdr:from>
    <xdr:to>
      <xdr:col>13</xdr:col>
      <xdr:colOff>123825</xdr:colOff>
      <xdr:row>6</xdr:row>
      <xdr:rowOff>171450</xdr:rowOff>
    </xdr:to>
    <xdr:sp>
      <xdr:nvSpPr>
        <xdr:cNvPr id="1" name="텍스트 3"/>
        <xdr:cNvSpPr txBox="1">
          <a:spLocks noChangeArrowheads="1"/>
        </xdr:cNvSpPr>
      </xdr:nvSpPr>
      <xdr:spPr>
        <a:xfrm>
          <a:off x="533400" y="285750"/>
          <a:ext cx="8505825" cy="704850"/>
        </a:xfrm>
        <a:prstGeom prst="rect">
          <a:avLst/>
        </a:prstGeom>
        <a:solidFill>
          <a:srgbClr val="000000"/>
        </a:solidFill>
        <a:ln w="1" cmpd="sng">
          <a:noFill/>
        </a:ln>
      </xdr:spPr>
      <xdr:txBody>
        <a:bodyPr vertOverflow="clip" wrap="square" lIns="100584" tIns="68580" rIns="100584" bIns="68580" anchor="ctr"/>
        <a:p>
          <a:pPr algn="ctr">
            <a:defRPr/>
          </a:pPr>
          <a:r>
            <a:rPr lang="en-US" cap="none" sz="5000" b="0" i="0" u="none" baseline="0">
              <a:solidFill>
                <a:srgbClr val="FFFFFF"/>
              </a:solidFill>
              <a:latin typeface="한양헤드라인"/>
              <a:ea typeface="한양헤드라인"/>
              <a:cs typeface="한양헤드라인"/>
            </a:rPr>
            <a:t>GEAR </a:t>
          </a:r>
          <a:r>
            <a:rPr lang="en-US" cap="none" sz="5000" b="0" i="0" u="none" baseline="0">
              <a:solidFill>
                <a:srgbClr val="FFFFFF"/>
              </a:solidFill>
              <a:latin typeface="맑은 고딕"/>
              <a:ea typeface="맑은 고딕"/>
              <a:cs typeface="맑은 고딕"/>
            </a:rPr>
            <a:t>주파수</a:t>
          </a:r>
          <a:r>
            <a:rPr lang="en-US" cap="none" sz="5000" b="0" i="0" u="none" baseline="0">
              <a:solidFill>
                <a:srgbClr val="FFFFFF"/>
              </a:solidFill>
              <a:latin typeface="맑은 고딕"/>
              <a:ea typeface="맑은 고딕"/>
              <a:cs typeface="맑은 고딕"/>
            </a:rPr>
            <a:t> 분석시스템</a:t>
          </a:r>
        </a:p>
      </xdr:txBody>
    </xdr:sp>
    <xdr:clientData/>
  </xdr:twoCellAnchor>
  <xdr:twoCellAnchor>
    <xdr:from>
      <xdr:col>0</xdr:col>
      <xdr:colOff>133350</xdr:colOff>
      <xdr:row>29</xdr:row>
      <xdr:rowOff>95250</xdr:rowOff>
    </xdr:from>
    <xdr:to>
      <xdr:col>6</xdr:col>
      <xdr:colOff>590550</xdr:colOff>
      <xdr:row>31</xdr:row>
      <xdr:rowOff>171450</xdr:rowOff>
    </xdr:to>
    <xdr:sp macro="[0]!유형">
      <xdr:nvSpPr>
        <xdr:cNvPr id="2" name="텍스트 9"/>
        <xdr:cNvSpPr txBox="1">
          <a:spLocks noChangeArrowheads="1"/>
        </xdr:cNvSpPr>
      </xdr:nvSpPr>
      <xdr:spPr>
        <a:xfrm>
          <a:off x="133350" y="4619625"/>
          <a:ext cx="4572000" cy="295275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실</a:t>
          </a:r>
          <a:r>
            <a:rPr lang="en-US" cap="none" sz="20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  행</a:t>
          </a:r>
        </a:p>
      </xdr:txBody>
    </xdr:sp>
    <xdr:clientData/>
  </xdr:twoCellAnchor>
  <xdr:twoCellAnchor>
    <xdr:from>
      <xdr:col>6</xdr:col>
      <xdr:colOff>609600</xdr:colOff>
      <xdr:row>29</xdr:row>
      <xdr:rowOff>104775</xdr:rowOff>
    </xdr:from>
    <xdr:to>
      <xdr:col>13</xdr:col>
      <xdr:colOff>371475</xdr:colOff>
      <xdr:row>32</xdr:row>
      <xdr:rowOff>0</xdr:rowOff>
    </xdr:to>
    <xdr:sp macro="[0]!파일닫기">
      <xdr:nvSpPr>
        <xdr:cNvPr id="3" name="텍스트 10"/>
        <xdr:cNvSpPr txBox="1">
          <a:spLocks noChangeArrowheads="1"/>
        </xdr:cNvSpPr>
      </xdr:nvSpPr>
      <xdr:spPr>
        <a:xfrm>
          <a:off x="4724400" y="4629150"/>
          <a:ext cx="4562475" cy="295275"/>
        </a:xfrm>
        <a:prstGeom prst="rect">
          <a:avLst/>
        </a:prstGeom>
        <a:solidFill>
          <a:srgbClr val="0000FF"/>
        </a:solidFill>
        <a:ln w="1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취</a:t>
          </a:r>
          <a:r>
            <a:rPr lang="en-US" cap="none" sz="2000" b="1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  소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514350</xdr:colOff>
      <xdr:row>3</xdr:row>
      <xdr:rowOff>28575</xdr:rowOff>
    </xdr:from>
    <xdr:to>
      <xdr:col>14</xdr:col>
      <xdr:colOff>76200</xdr:colOff>
      <xdr:row>4</xdr:row>
      <xdr:rowOff>152400</xdr:rowOff>
    </xdr:to>
    <xdr:sp macro="[0]!번3">
      <xdr:nvSpPr>
        <xdr:cNvPr id="1" name="텍스트 1"/>
        <xdr:cNvSpPr txBox="1">
          <a:spLocks noChangeArrowheads="1"/>
        </xdr:cNvSpPr>
      </xdr:nvSpPr>
      <xdr:spPr>
        <a:xfrm>
          <a:off x="7724775" y="733425"/>
          <a:ext cx="933450" cy="3048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EXIT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3</xdr:row>
      <xdr:rowOff>9525</xdr:rowOff>
    </xdr:from>
    <xdr:to>
      <xdr:col>13</xdr:col>
      <xdr:colOff>495300</xdr:colOff>
      <xdr:row>4</xdr:row>
      <xdr:rowOff>142875</xdr:rowOff>
    </xdr:to>
    <xdr:sp macro="[0]!번4">
      <xdr:nvSpPr>
        <xdr:cNvPr id="1" name="텍스트 1"/>
        <xdr:cNvSpPr txBox="1">
          <a:spLocks noChangeArrowheads="1"/>
        </xdr:cNvSpPr>
      </xdr:nvSpPr>
      <xdr:spPr>
        <a:xfrm>
          <a:off x="8048625" y="666750"/>
          <a:ext cx="933450" cy="3143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EXIT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3</xdr:row>
      <xdr:rowOff>171450</xdr:rowOff>
    </xdr:from>
    <xdr:to>
      <xdr:col>10</xdr:col>
      <xdr:colOff>476250</xdr:colOff>
      <xdr:row>5</xdr:row>
      <xdr:rowOff>114300</xdr:rowOff>
    </xdr:to>
    <xdr:sp macro="[0]!번5">
      <xdr:nvSpPr>
        <xdr:cNvPr id="1" name="텍스트 1"/>
        <xdr:cNvSpPr txBox="1">
          <a:spLocks noChangeArrowheads="1"/>
        </xdr:cNvSpPr>
      </xdr:nvSpPr>
      <xdr:spPr>
        <a:xfrm>
          <a:off x="7934325" y="828675"/>
          <a:ext cx="933450" cy="3048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EXIT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</xdr:row>
      <xdr:rowOff>161925</xdr:rowOff>
    </xdr:from>
    <xdr:to>
      <xdr:col>9</xdr:col>
      <xdr:colOff>57150</xdr:colOff>
      <xdr:row>3</xdr:row>
      <xdr:rowOff>142875</xdr:rowOff>
    </xdr:to>
    <xdr:sp>
      <xdr:nvSpPr>
        <xdr:cNvPr id="1" name="텍스트 11"/>
        <xdr:cNvSpPr txBox="1">
          <a:spLocks noChangeArrowheads="1"/>
        </xdr:cNvSpPr>
      </xdr:nvSpPr>
      <xdr:spPr>
        <a:xfrm>
          <a:off x="695325" y="390525"/>
          <a:ext cx="329565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73152" tIns="59436" rIns="73152" bIns="59436" anchor="ctr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설비의</a:t>
          </a:r>
          <a:r>
            <a:rPr lang="en-US" cap="none" sz="40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유형을 선택하시오!</a:t>
          </a:r>
        </a:p>
      </xdr:txBody>
    </xdr:sp>
    <xdr:clientData/>
  </xdr:twoCellAnchor>
  <xdr:twoCellAnchor>
    <xdr:from>
      <xdr:col>6</xdr:col>
      <xdr:colOff>66675</xdr:colOff>
      <xdr:row>26</xdr:row>
      <xdr:rowOff>38100</xdr:rowOff>
    </xdr:from>
    <xdr:to>
      <xdr:col>10</xdr:col>
      <xdr:colOff>180975</xdr:colOff>
      <xdr:row>28</xdr:row>
      <xdr:rowOff>142875</xdr:rowOff>
    </xdr:to>
    <xdr:sp macro="[0]!안내">
      <xdr:nvSpPr>
        <xdr:cNvPr id="2" name="텍스트 12"/>
        <xdr:cNvSpPr txBox="1">
          <a:spLocks noChangeArrowheads="1"/>
        </xdr:cNvSpPr>
      </xdr:nvSpPr>
      <xdr:spPr>
        <a:xfrm>
          <a:off x="2809875" y="4638675"/>
          <a:ext cx="1647825" cy="352425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EXIT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142875</xdr:rowOff>
    </xdr:from>
    <xdr:to>
      <xdr:col>9</xdr:col>
      <xdr:colOff>247650</xdr:colOff>
      <xdr:row>4</xdr:row>
      <xdr:rowOff>66675</xdr:rowOff>
    </xdr:to>
    <xdr:sp>
      <xdr:nvSpPr>
        <xdr:cNvPr id="1" name="텍스트 1"/>
        <xdr:cNvSpPr txBox="1">
          <a:spLocks noChangeArrowheads="1"/>
        </xdr:cNvSpPr>
      </xdr:nvSpPr>
      <xdr:spPr>
        <a:xfrm>
          <a:off x="2400300" y="323850"/>
          <a:ext cx="5410200" cy="466725"/>
        </a:xfrm>
        <a:prstGeom prst="rect">
          <a:avLst/>
        </a:prstGeom>
        <a:solidFill>
          <a:srgbClr val="000080"/>
        </a:solidFill>
        <a:ln w="1" cmpd="sng">
          <a:noFill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  <a:latin typeface="굴림체"/>
              <a:ea typeface="굴림체"/>
              <a:cs typeface="굴림체"/>
            </a:rPr>
            <a:t>기본사양을</a:t>
          </a:r>
          <a:r>
            <a:rPr lang="en-US" cap="none" sz="2800" b="1" i="0" u="none" baseline="0">
              <a:solidFill>
                <a:srgbClr val="FFFFFF"/>
              </a:solidFill>
              <a:latin typeface="굴림체"/>
              <a:ea typeface="굴림체"/>
              <a:cs typeface="굴림체"/>
            </a:rPr>
            <a:t> 입력하시오!</a:t>
          </a:r>
        </a:p>
      </xdr:txBody>
    </xdr:sp>
    <xdr:clientData/>
  </xdr:twoCellAnchor>
  <xdr:twoCellAnchor>
    <xdr:from>
      <xdr:col>0</xdr:col>
      <xdr:colOff>542925</xdr:colOff>
      <xdr:row>23</xdr:row>
      <xdr:rowOff>38100</xdr:rowOff>
    </xdr:from>
    <xdr:to>
      <xdr:col>6</xdr:col>
      <xdr:colOff>180975</xdr:colOff>
      <xdr:row>24</xdr:row>
      <xdr:rowOff>171450</xdr:rowOff>
    </xdr:to>
    <xdr:sp macro="[0]!분석1">
      <xdr:nvSpPr>
        <xdr:cNvPr id="2" name="텍스트 3"/>
        <xdr:cNvSpPr txBox="1">
          <a:spLocks noChangeArrowheads="1"/>
        </xdr:cNvSpPr>
      </xdr:nvSpPr>
      <xdr:spPr>
        <a:xfrm>
          <a:off x="542925" y="4514850"/>
          <a:ext cx="4038600" cy="3143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000" b="0" i="0" u="none" baseline="0">
              <a:solidFill>
                <a:srgbClr val="00FF00"/>
              </a:solidFill>
              <a:latin typeface="굴림체"/>
              <a:ea typeface="굴림체"/>
              <a:cs typeface="굴림체"/>
            </a:rPr>
            <a:t>실</a:t>
          </a:r>
          <a:r>
            <a:rPr lang="en-US" cap="none" sz="2000" b="0" i="0" u="none" baseline="0">
              <a:solidFill>
                <a:srgbClr val="00FF00"/>
              </a:solidFill>
              <a:latin typeface="굴림체"/>
              <a:ea typeface="굴림체"/>
              <a:cs typeface="굴림체"/>
            </a:rPr>
            <a:t>  행</a:t>
          </a:r>
        </a:p>
      </xdr:txBody>
    </xdr:sp>
    <xdr:clientData/>
  </xdr:twoCellAnchor>
  <xdr:twoCellAnchor>
    <xdr:from>
      <xdr:col>6</xdr:col>
      <xdr:colOff>190500</xdr:colOff>
      <xdr:row>23</xdr:row>
      <xdr:rowOff>47625</xdr:rowOff>
    </xdr:from>
    <xdr:to>
      <xdr:col>10</xdr:col>
      <xdr:colOff>304800</xdr:colOff>
      <xdr:row>24</xdr:row>
      <xdr:rowOff>171450</xdr:rowOff>
    </xdr:to>
    <xdr:sp macro="[0]!유형">
      <xdr:nvSpPr>
        <xdr:cNvPr id="3" name="텍스트 4"/>
        <xdr:cNvSpPr txBox="1">
          <a:spLocks noChangeArrowheads="1"/>
        </xdr:cNvSpPr>
      </xdr:nvSpPr>
      <xdr:spPr>
        <a:xfrm>
          <a:off x="4591050" y="4524375"/>
          <a:ext cx="3962400" cy="3048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취</a:t>
          </a:r>
          <a:r>
            <a:rPr lang="en-US" cap="none" sz="200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  소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142875</xdr:rowOff>
    </xdr:from>
    <xdr:to>
      <xdr:col>9</xdr:col>
      <xdr:colOff>247650</xdr:colOff>
      <xdr:row>4</xdr:row>
      <xdr:rowOff>66675</xdr:rowOff>
    </xdr:to>
    <xdr:sp>
      <xdr:nvSpPr>
        <xdr:cNvPr id="1" name="텍스트 1"/>
        <xdr:cNvSpPr txBox="1">
          <a:spLocks noChangeArrowheads="1"/>
        </xdr:cNvSpPr>
      </xdr:nvSpPr>
      <xdr:spPr>
        <a:xfrm>
          <a:off x="2400300" y="323850"/>
          <a:ext cx="5410200" cy="466725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굴림체"/>
              <a:ea typeface="굴림체"/>
              <a:cs typeface="굴림체"/>
            </a:rPr>
            <a:t>기본사양을</a:t>
          </a:r>
          <a:r>
            <a:rPr lang="en-US" cap="none" sz="2800" b="1" i="0" u="none" baseline="0">
              <a:solidFill>
                <a:srgbClr val="FFFF00"/>
              </a:solidFill>
              <a:latin typeface="굴림체"/>
              <a:ea typeface="굴림체"/>
              <a:cs typeface="굴림체"/>
            </a:rPr>
            <a:t> 입력하시오!</a:t>
          </a:r>
        </a:p>
      </xdr:txBody>
    </xdr:sp>
    <xdr:clientData/>
  </xdr:twoCellAnchor>
  <xdr:twoCellAnchor>
    <xdr:from>
      <xdr:col>0</xdr:col>
      <xdr:colOff>542925</xdr:colOff>
      <xdr:row>23</xdr:row>
      <xdr:rowOff>38100</xdr:rowOff>
    </xdr:from>
    <xdr:to>
      <xdr:col>6</xdr:col>
      <xdr:colOff>180975</xdr:colOff>
      <xdr:row>24</xdr:row>
      <xdr:rowOff>171450</xdr:rowOff>
    </xdr:to>
    <xdr:sp macro="[0]!분석2">
      <xdr:nvSpPr>
        <xdr:cNvPr id="2" name="텍스트 3"/>
        <xdr:cNvSpPr txBox="1">
          <a:spLocks noChangeArrowheads="1"/>
        </xdr:cNvSpPr>
      </xdr:nvSpPr>
      <xdr:spPr>
        <a:xfrm>
          <a:off x="542925" y="4514850"/>
          <a:ext cx="4038600" cy="3143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000" b="0" i="0" u="none" baseline="0">
              <a:solidFill>
                <a:srgbClr val="00FF00"/>
              </a:solidFill>
              <a:latin typeface="굴림체"/>
              <a:ea typeface="굴림체"/>
              <a:cs typeface="굴림체"/>
            </a:rPr>
            <a:t>실</a:t>
          </a:r>
          <a:r>
            <a:rPr lang="en-US" cap="none" sz="2000" b="0" i="0" u="none" baseline="0">
              <a:solidFill>
                <a:srgbClr val="00FF00"/>
              </a:solidFill>
              <a:latin typeface="굴림체"/>
              <a:ea typeface="굴림체"/>
              <a:cs typeface="굴림체"/>
            </a:rPr>
            <a:t>  행</a:t>
          </a:r>
        </a:p>
      </xdr:txBody>
    </xdr:sp>
    <xdr:clientData/>
  </xdr:twoCellAnchor>
  <xdr:twoCellAnchor>
    <xdr:from>
      <xdr:col>6</xdr:col>
      <xdr:colOff>190500</xdr:colOff>
      <xdr:row>23</xdr:row>
      <xdr:rowOff>47625</xdr:rowOff>
    </xdr:from>
    <xdr:to>
      <xdr:col>10</xdr:col>
      <xdr:colOff>304800</xdr:colOff>
      <xdr:row>24</xdr:row>
      <xdr:rowOff>171450</xdr:rowOff>
    </xdr:to>
    <xdr:sp macro="[0]!유형">
      <xdr:nvSpPr>
        <xdr:cNvPr id="3" name="텍스트 4"/>
        <xdr:cNvSpPr txBox="1">
          <a:spLocks noChangeArrowheads="1"/>
        </xdr:cNvSpPr>
      </xdr:nvSpPr>
      <xdr:spPr>
        <a:xfrm>
          <a:off x="4591050" y="4524375"/>
          <a:ext cx="3962400" cy="3048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취</a:t>
          </a:r>
          <a:r>
            <a:rPr lang="en-US" cap="none" sz="200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  소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142875</xdr:rowOff>
    </xdr:from>
    <xdr:to>
      <xdr:col>9</xdr:col>
      <xdr:colOff>247650</xdr:colOff>
      <xdr:row>4</xdr:row>
      <xdr:rowOff>66675</xdr:rowOff>
    </xdr:to>
    <xdr:sp>
      <xdr:nvSpPr>
        <xdr:cNvPr id="1" name="텍스트 1"/>
        <xdr:cNvSpPr txBox="1">
          <a:spLocks noChangeArrowheads="1"/>
        </xdr:cNvSpPr>
      </xdr:nvSpPr>
      <xdr:spPr>
        <a:xfrm>
          <a:off x="2400300" y="323850"/>
          <a:ext cx="5410200" cy="466725"/>
        </a:xfrm>
        <a:prstGeom prst="rect">
          <a:avLst/>
        </a:prstGeom>
        <a:solidFill>
          <a:srgbClr val="000000"/>
        </a:solidFill>
        <a:ln w="1" cmpd="sng">
          <a:noFill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굴림체"/>
              <a:ea typeface="굴림체"/>
              <a:cs typeface="굴림체"/>
            </a:rPr>
            <a:t>기본사양을</a:t>
          </a:r>
          <a:r>
            <a:rPr lang="en-US" cap="none" sz="2800" b="1" i="0" u="none" baseline="0">
              <a:solidFill>
                <a:srgbClr val="FFFF00"/>
              </a:solidFill>
              <a:latin typeface="굴림체"/>
              <a:ea typeface="굴림체"/>
              <a:cs typeface="굴림체"/>
            </a:rPr>
            <a:t> 입력하시오!</a:t>
          </a:r>
        </a:p>
      </xdr:txBody>
    </xdr:sp>
    <xdr:clientData/>
  </xdr:twoCellAnchor>
  <xdr:twoCellAnchor>
    <xdr:from>
      <xdr:col>0</xdr:col>
      <xdr:colOff>542925</xdr:colOff>
      <xdr:row>23</xdr:row>
      <xdr:rowOff>38100</xdr:rowOff>
    </xdr:from>
    <xdr:to>
      <xdr:col>6</xdr:col>
      <xdr:colOff>180975</xdr:colOff>
      <xdr:row>24</xdr:row>
      <xdr:rowOff>171450</xdr:rowOff>
    </xdr:to>
    <xdr:sp macro="[0]!분석3">
      <xdr:nvSpPr>
        <xdr:cNvPr id="2" name="텍스트 2"/>
        <xdr:cNvSpPr txBox="1">
          <a:spLocks noChangeArrowheads="1"/>
        </xdr:cNvSpPr>
      </xdr:nvSpPr>
      <xdr:spPr>
        <a:xfrm>
          <a:off x="542925" y="4514850"/>
          <a:ext cx="4038600" cy="3143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000" b="0" i="0" u="none" baseline="0">
              <a:solidFill>
                <a:srgbClr val="00FF00"/>
              </a:solidFill>
              <a:latin typeface="굴림체"/>
              <a:ea typeface="굴림체"/>
              <a:cs typeface="굴림체"/>
            </a:rPr>
            <a:t>실</a:t>
          </a:r>
          <a:r>
            <a:rPr lang="en-US" cap="none" sz="2000" b="0" i="0" u="none" baseline="0">
              <a:solidFill>
                <a:srgbClr val="00FF00"/>
              </a:solidFill>
              <a:latin typeface="굴림체"/>
              <a:ea typeface="굴림체"/>
              <a:cs typeface="굴림체"/>
            </a:rPr>
            <a:t>  행</a:t>
          </a:r>
        </a:p>
      </xdr:txBody>
    </xdr:sp>
    <xdr:clientData/>
  </xdr:twoCellAnchor>
  <xdr:twoCellAnchor>
    <xdr:from>
      <xdr:col>6</xdr:col>
      <xdr:colOff>190500</xdr:colOff>
      <xdr:row>23</xdr:row>
      <xdr:rowOff>47625</xdr:rowOff>
    </xdr:from>
    <xdr:to>
      <xdr:col>10</xdr:col>
      <xdr:colOff>304800</xdr:colOff>
      <xdr:row>24</xdr:row>
      <xdr:rowOff>171450</xdr:rowOff>
    </xdr:to>
    <xdr:sp macro="[0]!유형">
      <xdr:nvSpPr>
        <xdr:cNvPr id="3" name="텍스트 3"/>
        <xdr:cNvSpPr txBox="1">
          <a:spLocks noChangeArrowheads="1"/>
        </xdr:cNvSpPr>
      </xdr:nvSpPr>
      <xdr:spPr>
        <a:xfrm>
          <a:off x="4591050" y="4524375"/>
          <a:ext cx="3962400" cy="3048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취</a:t>
          </a:r>
          <a:r>
            <a:rPr lang="en-US" cap="none" sz="200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  소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</xdr:row>
      <xdr:rowOff>66675</xdr:rowOff>
    </xdr:from>
    <xdr:to>
      <xdr:col>9</xdr:col>
      <xdr:colOff>447675</xdr:colOff>
      <xdr:row>3</xdr:row>
      <xdr:rowOff>190500</xdr:rowOff>
    </xdr:to>
    <xdr:sp>
      <xdr:nvSpPr>
        <xdr:cNvPr id="1" name="텍스트 1"/>
        <xdr:cNvSpPr txBox="1">
          <a:spLocks noChangeArrowheads="1"/>
        </xdr:cNvSpPr>
      </xdr:nvSpPr>
      <xdr:spPr>
        <a:xfrm>
          <a:off x="2600325" y="247650"/>
          <a:ext cx="5838825" cy="590550"/>
        </a:xfrm>
        <a:prstGeom prst="rect">
          <a:avLst/>
        </a:prstGeom>
        <a:solidFill>
          <a:srgbClr val="808080"/>
        </a:solidFill>
        <a:ln w="1" cmpd="sng">
          <a:noFill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800" b="1" i="0" u="none" baseline="0">
              <a:solidFill>
                <a:srgbClr val="A0E0E0"/>
              </a:solidFill>
              <a:latin typeface="굴림체"/>
              <a:ea typeface="굴림체"/>
              <a:cs typeface="굴림체"/>
            </a:rPr>
            <a:t>기본사양을</a:t>
          </a:r>
          <a:r>
            <a:rPr lang="en-US" cap="none" sz="2800" b="1" i="0" u="none" baseline="0">
              <a:solidFill>
                <a:srgbClr val="A0E0E0"/>
              </a:solidFill>
              <a:latin typeface="굴림체"/>
              <a:ea typeface="굴림체"/>
              <a:cs typeface="굴림체"/>
            </a:rPr>
            <a:t> 입력하시오!</a:t>
          </a:r>
        </a:p>
      </xdr:txBody>
    </xdr:sp>
    <xdr:clientData/>
  </xdr:twoCellAnchor>
  <xdr:twoCellAnchor>
    <xdr:from>
      <xdr:col>0</xdr:col>
      <xdr:colOff>581025</xdr:colOff>
      <xdr:row>26</xdr:row>
      <xdr:rowOff>104775</xdr:rowOff>
    </xdr:from>
    <xdr:to>
      <xdr:col>5</xdr:col>
      <xdr:colOff>1323975</xdr:colOff>
      <xdr:row>28</xdr:row>
      <xdr:rowOff>38100</xdr:rowOff>
    </xdr:to>
    <xdr:sp macro="[0]!분석4">
      <xdr:nvSpPr>
        <xdr:cNvPr id="2" name="텍스트 3"/>
        <xdr:cNvSpPr txBox="1">
          <a:spLocks noChangeArrowheads="1"/>
        </xdr:cNvSpPr>
      </xdr:nvSpPr>
      <xdr:spPr>
        <a:xfrm>
          <a:off x="581025" y="5057775"/>
          <a:ext cx="4457700" cy="2952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000" b="0" i="0" u="none" baseline="0">
              <a:solidFill>
                <a:srgbClr val="00FF00"/>
              </a:solidFill>
              <a:latin typeface="굴림체"/>
              <a:ea typeface="굴림체"/>
              <a:cs typeface="굴림체"/>
            </a:rPr>
            <a:t>실</a:t>
          </a:r>
          <a:r>
            <a:rPr lang="en-US" cap="none" sz="2000" b="0" i="0" u="none" baseline="0">
              <a:solidFill>
                <a:srgbClr val="00FF00"/>
              </a:solidFill>
              <a:latin typeface="굴림체"/>
              <a:ea typeface="굴림체"/>
              <a:cs typeface="굴림체"/>
            </a:rPr>
            <a:t>  행</a:t>
          </a:r>
        </a:p>
      </xdr:txBody>
    </xdr:sp>
    <xdr:clientData/>
  </xdr:twoCellAnchor>
  <xdr:twoCellAnchor>
    <xdr:from>
      <xdr:col>5</xdr:col>
      <xdr:colOff>1314450</xdr:colOff>
      <xdr:row>26</xdr:row>
      <xdr:rowOff>104775</xdr:rowOff>
    </xdr:from>
    <xdr:to>
      <xdr:col>10</xdr:col>
      <xdr:colOff>133350</xdr:colOff>
      <xdr:row>28</xdr:row>
      <xdr:rowOff>38100</xdr:rowOff>
    </xdr:to>
    <xdr:sp macro="[0]!유형">
      <xdr:nvSpPr>
        <xdr:cNvPr id="3" name="텍스트 4"/>
        <xdr:cNvSpPr txBox="1">
          <a:spLocks noChangeArrowheads="1"/>
        </xdr:cNvSpPr>
      </xdr:nvSpPr>
      <xdr:spPr>
        <a:xfrm>
          <a:off x="5029200" y="5057775"/>
          <a:ext cx="4038600" cy="2952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취</a:t>
          </a:r>
          <a:r>
            <a:rPr lang="en-US" cap="none" sz="200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  소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</xdr:row>
      <xdr:rowOff>171450</xdr:rowOff>
    </xdr:from>
    <xdr:to>
      <xdr:col>12</xdr:col>
      <xdr:colOff>114300</xdr:colOff>
      <xdr:row>4</xdr:row>
      <xdr:rowOff>171450</xdr:rowOff>
    </xdr:to>
    <xdr:sp>
      <xdr:nvSpPr>
        <xdr:cNvPr id="1" name="텍스트 2"/>
        <xdr:cNvSpPr txBox="1">
          <a:spLocks noChangeArrowheads="1"/>
        </xdr:cNvSpPr>
      </xdr:nvSpPr>
      <xdr:spPr>
        <a:xfrm>
          <a:off x="2505075" y="352425"/>
          <a:ext cx="6610350" cy="542925"/>
        </a:xfrm>
        <a:prstGeom prst="rect">
          <a:avLst/>
        </a:prstGeom>
        <a:solidFill>
          <a:srgbClr val="FFFF00"/>
        </a:solidFill>
        <a:ln w="1" cmpd="sng">
          <a:noFill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800" b="1" i="0" u="none" baseline="0">
              <a:solidFill>
                <a:srgbClr val="424242"/>
              </a:solidFill>
              <a:latin typeface="굴림체"/>
              <a:ea typeface="굴림체"/>
              <a:cs typeface="굴림체"/>
            </a:rPr>
            <a:t>기본사양을</a:t>
          </a:r>
          <a:r>
            <a:rPr lang="en-US" cap="none" sz="2800" b="1" i="0" u="none" baseline="0">
              <a:solidFill>
                <a:srgbClr val="424242"/>
              </a:solidFill>
              <a:latin typeface="굴림체"/>
              <a:ea typeface="굴림체"/>
              <a:cs typeface="굴림체"/>
            </a:rPr>
            <a:t> 입력하시오!</a:t>
          </a:r>
        </a:p>
      </xdr:txBody>
    </xdr:sp>
    <xdr:clientData/>
  </xdr:twoCellAnchor>
  <xdr:twoCellAnchor>
    <xdr:from>
      <xdr:col>0</xdr:col>
      <xdr:colOff>390525</xdr:colOff>
      <xdr:row>30</xdr:row>
      <xdr:rowOff>66675</xdr:rowOff>
    </xdr:from>
    <xdr:to>
      <xdr:col>6</xdr:col>
      <xdr:colOff>1257300</xdr:colOff>
      <xdr:row>32</xdr:row>
      <xdr:rowOff>9525</xdr:rowOff>
    </xdr:to>
    <xdr:sp macro="[0]!분석5">
      <xdr:nvSpPr>
        <xdr:cNvPr id="2" name="텍스트 19"/>
        <xdr:cNvSpPr txBox="1">
          <a:spLocks noChangeArrowheads="1"/>
        </xdr:cNvSpPr>
      </xdr:nvSpPr>
      <xdr:spPr>
        <a:xfrm>
          <a:off x="390525" y="4981575"/>
          <a:ext cx="4457700" cy="3048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000" b="0" i="0" u="none" baseline="0">
              <a:solidFill>
                <a:srgbClr val="00FF00"/>
              </a:solidFill>
              <a:latin typeface="굴림체"/>
              <a:ea typeface="굴림체"/>
              <a:cs typeface="굴림체"/>
            </a:rPr>
            <a:t>실</a:t>
          </a:r>
          <a:r>
            <a:rPr lang="en-US" cap="none" sz="2000" b="0" i="0" u="none" baseline="0">
              <a:solidFill>
                <a:srgbClr val="00FF00"/>
              </a:solidFill>
              <a:latin typeface="굴림체"/>
              <a:ea typeface="굴림체"/>
              <a:cs typeface="굴림체"/>
            </a:rPr>
            <a:t>  행</a:t>
          </a:r>
        </a:p>
      </xdr:txBody>
    </xdr:sp>
    <xdr:clientData/>
  </xdr:twoCellAnchor>
  <xdr:twoCellAnchor>
    <xdr:from>
      <xdr:col>6</xdr:col>
      <xdr:colOff>1228725</xdr:colOff>
      <xdr:row>30</xdr:row>
      <xdr:rowOff>66675</xdr:rowOff>
    </xdr:from>
    <xdr:to>
      <xdr:col>10</xdr:col>
      <xdr:colOff>876300</xdr:colOff>
      <xdr:row>32</xdr:row>
      <xdr:rowOff>9525</xdr:rowOff>
    </xdr:to>
    <xdr:sp macro="[0]!유형">
      <xdr:nvSpPr>
        <xdr:cNvPr id="3" name="텍스트 20"/>
        <xdr:cNvSpPr txBox="1">
          <a:spLocks noChangeArrowheads="1"/>
        </xdr:cNvSpPr>
      </xdr:nvSpPr>
      <xdr:spPr>
        <a:xfrm>
          <a:off x="4819650" y="4981575"/>
          <a:ext cx="4038600" cy="3048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취</a:t>
          </a:r>
          <a:r>
            <a:rPr lang="en-US" cap="none" sz="2000" b="0" i="0" u="none" baseline="0">
              <a:solidFill>
                <a:srgbClr val="000000"/>
              </a:solidFill>
              <a:latin typeface="굴림체"/>
              <a:ea typeface="굴림체"/>
              <a:cs typeface="굴림체"/>
            </a:rPr>
            <a:t>  소</a:t>
          </a:r>
        </a:p>
      </xdr:txBody>
    </xdr:sp>
    <xdr:clientData/>
  </xdr:twoCellAnchor>
  <xdr:twoCellAnchor>
    <xdr:from>
      <xdr:col>7</xdr:col>
      <xdr:colOff>904875</xdr:colOff>
      <xdr:row>10</xdr:row>
      <xdr:rowOff>0</xdr:rowOff>
    </xdr:from>
    <xdr:to>
      <xdr:col>10</xdr:col>
      <xdr:colOff>428625</xdr:colOff>
      <xdr:row>27</xdr:row>
      <xdr:rowOff>133350</xdr:rowOff>
    </xdr:to>
    <xdr:grpSp>
      <xdr:nvGrpSpPr>
        <xdr:cNvPr id="4" name="Group 26"/>
        <xdr:cNvGrpSpPr>
          <a:grpSpLocks/>
        </xdr:cNvGrpSpPr>
      </xdr:nvGrpSpPr>
      <xdr:grpSpPr>
        <a:xfrm>
          <a:off x="6048375" y="1838325"/>
          <a:ext cx="2362200" cy="2590800"/>
          <a:chOff x="284" y="-996244"/>
          <a:chExt cx="16864" cy="19040"/>
        </a:xfrm>
        <a:solidFill>
          <a:srgbClr val="FFFFFF"/>
        </a:solidFill>
      </xdr:grpSpPr>
      <xdr:grpSp>
        <xdr:nvGrpSpPr>
          <xdr:cNvPr id="5" name="Group 18"/>
          <xdr:cNvGrpSpPr>
            <a:grpSpLocks/>
          </xdr:cNvGrpSpPr>
        </xdr:nvGrpSpPr>
        <xdr:grpSpPr>
          <a:xfrm>
            <a:off x="284" y="-996244"/>
            <a:ext cx="16864" cy="19040"/>
            <a:chOff x="635" y="193"/>
            <a:chExt cx="248" cy="272"/>
          </a:xfrm>
          <a:solidFill>
            <a:srgbClr val="FFFFFF"/>
          </a:solidFill>
        </xdr:grpSpPr>
        <xdr:sp>
          <xdr:nvSpPr>
            <xdr:cNvPr id="6" name="Line 6"/>
            <xdr:cNvSpPr>
              <a:spLocks/>
            </xdr:cNvSpPr>
          </xdr:nvSpPr>
          <xdr:spPr>
            <a:xfrm>
              <a:off x="882" y="193"/>
              <a:ext cx="1" cy="5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바탕체"/>
                  <a:ea typeface="바탕체"/>
                  <a:cs typeface="바탕체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H="1">
              <a:off x="667" y="244"/>
              <a:ext cx="216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바탕체"/>
                  <a:ea typeface="바탕체"/>
                  <a:cs typeface="바탕체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>
              <a:off x="668" y="244"/>
              <a:ext cx="1" cy="2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바탕체"/>
                  <a:ea typeface="바탕체"/>
                  <a:cs typeface="바탕체"/>
                </a:rPr>
                <a:t/>
              </a:r>
            </a:p>
          </xdr:txBody>
        </xdr:sp>
        <xdr:sp>
          <xdr:nvSpPr>
            <xdr:cNvPr id="9" name="Line 15"/>
            <xdr:cNvSpPr>
              <a:spLocks/>
            </xdr:cNvSpPr>
          </xdr:nvSpPr>
          <xdr:spPr>
            <a:xfrm flipH="1">
              <a:off x="638" y="464"/>
              <a:ext cx="32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바탕체"/>
                  <a:ea typeface="바탕체"/>
                  <a:cs typeface="바탕체"/>
                </a:rPr>
                <a:t/>
              </a:r>
            </a:p>
          </xdr:txBody>
        </xdr:sp>
        <xdr:sp>
          <xdr:nvSpPr>
            <xdr:cNvPr id="10" name="Line 16"/>
            <xdr:cNvSpPr>
              <a:spLocks/>
            </xdr:cNvSpPr>
          </xdr:nvSpPr>
          <xdr:spPr>
            <a:xfrm flipH="1">
              <a:off x="635" y="435"/>
              <a:ext cx="31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바탕체"/>
                  <a:ea typeface="바탕체"/>
                  <a:cs typeface="바탕체"/>
                </a:rPr>
                <a:t/>
              </a:r>
            </a:p>
          </xdr:txBody>
        </xdr:sp>
        <xdr:sp>
          <xdr:nvSpPr>
            <xdr:cNvPr id="11" name="Line 17"/>
            <xdr:cNvSpPr>
              <a:spLocks/>
            </xdr:cNvSpPr>
          </xdr:nvSpPr>
          <xdr:spPr>
            <a:xfrm flipH="1">
              <a:off x="637" y="400"/>
              <a:ext cx="31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바탕체"/>
                  <a:ea typeface="바탕체"/>
                  <a:cs typeface="바탕체"/>
                </a:rPr>
                <a:t/>
              </a:r>
            </a:p>
          </xdr:txBody>
        </xdr:sp>
      </xdr:grpSp>
      <xdr:sp>
        <xdr:nvSpPr>
          <xdr:cNvPr id="12" name="Line 22"/>
          <xdr:cNvSpPr>
            <a:spLocks/>
          </xdr:cNvSpPr>
        </xdr:nvSpPr>
        <xdr:spPr>
          <a:xfrm flipH="1">
            <a:off x="486" y="-984273"/>
            <a:ext cx="21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바탕체"/>
                <a:ea typeface="바탕체"/>
                <a:cs typeface="바탕체"/>
              </a:rPr>
              <a:t/>
            </a:r>
          </a:p>
        </xdr:txBody>
      </xdr:sp>
      <xdr:sp>
        <xdr:nvSpPr>
          <xdr:cNvPr id="13" name="Line 23"/>
          <xdr:cNvSpPr>
            <a:spLocks/>
          </xdr:cNvSpPr>
        </xdr:nvSpPr>
        <xdr:spPr>
          <a:xfrm flipH="1">
            <a:off x="486" y="-986443"/>
            <a:ext cx="21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바탕체"/>
                <a:ea typeface="바탕체"/>
                <a:cs typeface="바탕체"/>
              </a:rPr>
              <a:t/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flipH="1">
            <a:off x="486" y="-988614"/>
            <a:ext cx="21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바탕체"/>
                <a:ea typeface="바탕체"/>
                <a:cs typeface="바탕체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flipH="1">
            <a:off x="486" y="-990713"/>
            <a:ext cx="21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바탕체"/>
                <a:ea typeface="바탕체"/>
                <a:cs typeface="바탕체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514350</xdr:colOff>
      <xdr:row>3</xdr:row>
      <xdr:rowOff>28575</xdr:rowOff>
    </xdr:from>
    <xdr:to>
      <xdr:col>14</xdr:col>
      <xdr:colOff>76200</xdr:colOff>
      <xdr:row>4</xdr:row>
      <xdr:rowOff>152400</xdr:rowOff>
    </xdr:to>
    <xdr:sp macro="[0]!번1">
      <xdr:nvSpPr>
        <xdr:cNvPr id="1" name="텍스트 1"/>
        <xdr:cNvSpPr txBox="1">
          <a:spLocks noChangeArrowheads="1"/>
        </xdr:cNvSpPr>
      </xdr:nvSpPr>
      <xdr:spPr>
        <a:xfrm>
          <a:off x="7724775" y="685800"/>
          <a:ext cx="933450" cy="3048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EXIT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514350</xdr:colOff>
      <xdr:row>3</xdr:row>
      <xdr:rowOff>28575</xdr:rowOff>
    </xdr:from>
    <xdr:to>
      <xdr:col>14</xdr:col>
      <xdr:colOff>76200</xdr:colOff>
      <xdr:row>4</xdr:row>
      <xdr:rowOff>152400</xdr:rowOff>
    </xdr:to>
    <xdr:sp macro="[0]!번2">
      <xdr:nvSpPr>
        <xdr:cNvPr id="1" name="텍스트 1"/>
        <xdr:cNvSpPr txBox="1">
          <a:spLocks noChangeArrowheads="1"/>
        </xdr:cNvSpPr>
      </xdr:nvSpPr>
      <xdr:spPr>
        <a:xfrm>
          <a:off x="7724775" y="733425"/>
          <a:ext cx="933450" cy="3048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EXIT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99"/>
  <sheetViews>
    <sheetView showGridLines="0" showRowColHeaders="0" zoomScalePageLayoutView="0" workbookViewId="0" topLeftCell="A1">
      <selection activeCell="C5" sqref="C5"/>
    </sheetView>
  </sheetViews>
  <sheetFormatPr defaultColWidth="9.00390625" defaultRowHeight="14.25"/>
  <cols>
    <col min="1" max="1" width="4.50390625" style="15" customWidth="1"/>
    <col min="2" max="3" width="9.00390625" style="15" customWidth="1"/>
    <col min="4" max="4" width="3.875" style="15" customWidth="1"/>
    <col min="5" max="7" width="9.00390625" style="15" customWidth="1"/>
    <col min="8" max="8" width="8.75390625" style="15" customWidth="1"/>
    <col min="9" max="9" width="6.875" style="15" customWidth="1"/>
    <col min="10" max="10" width="7.625" style="15" customWidth="1"/>
    <col min="11" max="16384" width="9.00390625" style="15" customWidth="1"/>
  </cols>
  <sheetData>
    <row r="1" spans="1:7" ht="27" customHeight="1">
      <c r="A1" s="51" t="s">
        <v>26</v>
      </c>
      <c r="B1" s="14"/>
      <c r="C1" s="14"/>
      <c r="D1" s="14"/>
      <c r="E1" s="14"/>
      <c r="F1" s="14"/>
      <c r="G1" s="14"/>
    </row>
    <row r="2" spans="1:26" ht="14.25">
      <c r="A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4.25">
      <c r="A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4.25">
      <c r="A4" s="16"/>
      <c r="B4" s="13" t="s">
        <v>27</v>
      </c>
      <c r="C4" s="13"/>
      <c r="D4" s="16"/>
      <c r="E4" s="31" t="s">
        <v>28</v>
      </c>
      <c r="F4" s="20" t="s">
        <v>29</v>
      </c>
      <c r="G4" s="20" t="s">
        <v>30</v>
      </c>
      <c r="H4" s="25" t="s">
        <v>31</v>
      </c>
      <c r="I4" s="17"/>
      <c r="J4" s="38"/>
      <c r="K4" s="20" t="s">
        <v>32</v>
      </c>
      <c r="L4" s="21" t="s">
        <v>33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4.25">
      <c r="A5" s="16"/>
      <c r="B5" s="18" t="s">
        <v>34</v>
      </c>
      <c r="C5" s="26">
        <f>$K$6*2번!$I10</f>
        <v>0</v>
      </c>
      <c r="D5" s="16"/>
      <c r="E5" s="32"/>
      <c r="F5" s="20" t="s">
        <v>35</v>
      </c>
      <c r="G5" s="20" t="s">
        <v>36</v>
      </c>
      <c r="H5" s="20" t="s">
        <v>37</v>
      </c>
      <c r="I5" s="37" t="s">
        <v>38</v>
      </c>
      <c r="J5" s="38"/>
      <c r="K5" s="20" t="s">
        <v>37</v>
      </c>
      <c r="L5" s="22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4.25">
      <c r="A6" s="16"/>
      <c r="B6" s="18" t="s">
        <v>39</v>
      </c>
      <c r="C6" s="26" t="e">
        <f>$C$5/2번!$I$12*2번!$I$14</f>
        <v>#DIV/0!</v>
      </c>
      <c r="D6" s="16"/>
      <c r="E6" s="33" t="s">
        <v>40</v>
      </c>
      <c r="F6" s="29">
        <f>1/3*$C$5</f>
        <v>0</v>
      </c>
      <c r="G6" s="29">
        <f>$K$6*2번!$I$10</f>
        <v>0</v>
      </c>
      <c r="H6" s="27">
        <f>2번!$I$8/60</f>
        <v>0</v>
      </c>
      <c r="I6" s="39">
        <f>$K$6*2번!$I$10+$K$6</f>
        <v>0</v>
      </c>
      <c r="J6" s="43">
        <f>($K$6*2번!$I$10+$K$6)*2-$K$6</f>
        <v>0</v>
      </c>
      <c r="K6" s="27">
        <f>2번!$I$8/60</f>
        <v>0</v>
      </c>
      <c r="L6" s="24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4.25">
      <c r="A7" s="16"/>
      <c r="B7" s="19"/>
      <c r="C7" s="26"/>
      <c r="D7" s="16"/>
      <c r="E7" s="34"/>
      <c r="F7" s="30">
        <f>1/2*$C$5</f>
        <v>0</v>
      </c>
      <c r="G7" s="30">
        <f>$K$6*2번!$I$10*2</f>
        <v>0</v>
      </c>
      <c r="H7" s="27">
        <f>2번!$I$8/60*2</f>
        <v>0</v>
      </c>
      <c r="I7" s="40">
        <f>$K$6*2번!$I$10+($K$6*2)</f>
        <v>0</v>
      </c>
      <c r="J7" s="44">
        <f>($K$6*2번!$I$10+($K$6*2))*2-$K$6-$K$6</f>
        <v>0</v>
      </c>
      <c r="K7" s="27">
        <f>2번!$I$8/60*2</f>
        <v>0</v>
      </c>
      <c r="L7" s="23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4.25">
      <c r="A8" s="16"/>
      <c r="B8" s="48"/>
      <c r="C8" s="27"/>
      <c r="D8" s="16"/>
      <c r="E8" s="34"/>
      <c r="F8" s="30">
        <f>$K$6*2번!$I$10</f>
        <v>0</v>
      </c>
      <c r="G8" s="30">
        <f>$K$6*2번!$I$10*3</f>
        <v>0</v>
      </c>
      <c r="H8" s="27">
        <f>2번!$I$8/60*3</f>
        <v>0</v>
      </c>
      <c r="I8" s="40">
        <f>$K$6*2번!$I$10+($K$6*3)</f>
        <v>0</v>
      </c>
      <c r="J8" s="44">
        <f>($K$6*2번!$I$10+($K$6*3))*2-$K$6-$K$6-$K$6</f>
        <v>0</v>
      </c>
      <c r="K8" s="27">
        <f>2번!$I$8/60*3</f>
        <v>0</v>
      </c>
      <c r="L8" s="23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4.25">
      <c r="A9" s="16"/>
      <c r="B9" s="16"/>
      <c r="C9" s="16"/>
      <c r="D9" s="16"/>
      <c r="E9" s="34"/>
      <c r="F9" s="30">
        <f>$K$6*2번!$I$10*2</f>
        <v>0</v>
      </c>
      <c r="G9" s="30">
        <f>$K$6*2번!$I$10*4</f>
        <v>0</v>
      </c>
      <c r="H9" s="27">
        <f>2번!$I$8/60*4</f>
        <v>0</v>
      </c>
      <c r="I9" s="40">
        <f>$K$6*2번!$I$10+($K$6*4)</f>
        <v>0</v>
      </c>
      <c r="J9" s="44">
        <f>($K$6*2번!$I$10+($K$6*4))*2-($K$6*4)</f>
        <v>0</v>
      </c>
      <c r="K9" s="27">
        <f>2번!$I$8/60*4</f>
        <v>0</v>
      </c>
      <c r="L9" s="23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4.25">
      <c r="A10" s="16"/>
      <c r="B10" s="13" t="s">
        <v>43</v>
      </c>
      <c r="C10" s="13"/>
      <c r="D10"/>
      <c r="E10" s="35"/>
      <c r="F10" s="30">
        <f>$K$6*2번!$I$10*3</f>
        <v>0</v>
      </c>
      <c r="G10" s="30">
        <f>$K$6*2번!$I$10*5</f>
        <v>0</v>
      </c>
      <c r="H10" s="27">
        <f>2번!$I$8/60*5</f>
        <v>0</v>
      </c>
      <c r="I10" s="40">
        <f>$K$6*2번!$I$10+($K$6*5)</f>
        <v>0</v>
      </c>
      <c r="J10" s="44">
        <f>($K$6*2번!$I$10+($K$6*5))*2-(K6*5)</f>
        <v>0</v>
      </c>
      <c r="K10" s="27">
        <f>2번!$I$8/60*5</f>
        <v>0</v>
      </c>
      <c r="L10" s="23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4.25">
      <c r="A11" s="16"/>
      <c r="B11" s="18" t="s">
        <v>44</v>
      </c>
      <c r="C11" s="26">
        <f>2번!$I$8/60</f>
        <v>0</v>
      </c>
      <c r="D11" s="1"/>
      <c r="E11" s="32"/>
      <c r="F11" s="28"/>
      <c r="G11" s="28"/>
      <c r="H11" s="28"/>
      <c r="I11" s="41"/>
      <c r="J11" s="42"/>
      <c r="K11" s="28"/>
      <c r="L11" s="22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4.25">
      <c r="A12" s="16"/>
      <c r="B12" s="18" t="s">
        <v>45</v>
      </c>
      <c r="C12" s="26" t="e">
        <f>$C$6/2번!$I$12</f>
        <v>#DIV/0!</v>
      </c>
      <c r="D12" s="1"/>
      <c r="E12" s="31" t="s">
        <v>46</v>
      </c>
      <c r="F12" s="29" t="e">
        <f>1/3*$C$6</f>
        <v>#DIV/0!</v>
      </c>
      <c r="G12" s="29" t="e">
        <f>$K$6*2번!$I$10/2번!$I$12*2번!$I$14</f>
        <v>#DIV/0!</v>
      </c>
      <c r="H12" s="29" t="e">
        <f>2번!$I$8/60*2번!$I$10/2번!$I$12</f>
        <v>#DIV/0!</v>
      </c>
      <c r="I12" s="27" t="e">
        <f>$K$6*2번!$I$10/2번!$I$12*2번!$I$14+$H$12</f>
        <v>#DIV/0!</v>
      </c>
      <c r="J12" s="27" t="e">
        <f>($K$6*2번!$I$10/2번!$I$12*2번!$I$14+$H$12)*2-$K$12</f>
        <v>#DIV/0!</v>
      </c>
      <c r="K12" s="29" t="e">
        <f>2번!$I$8/60*2번!$I$10/2번!$I$12</f>
        <v>#DIV/0!</v>
      </c>
      <c r="L12" s="24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4.25">
      <c r="A13" s="16"/>
      <c r="B13" s="18" t="s">
        <v>47</v>
      </c>
      <c r="C13" s="26" t="e">
        <f>$C$6*2번!$I$14/2번!$I$16</f>
        <v>#DIV/0!</v>
      </c>
      <c r="D13" s="1"/>
      <c r="E13" s="34"/>
      <c r="F13" s="30" t="e">
        <f>1/2*$C$6</f>
        <v>#DIV/0!</v>
      </c>
      <c r="G13" s="30" t="e">
        <f>$K$6*2번!$I$10/2번!$I$12*2번!$I$14*2</f>
        <v>#DIV/0!</v>
      </c>
      <c r="H13" s="30" t="e">
        <f>2번!$I$8/60*2번!$I$10/2번!$I$12*2</f>
        <v>#DIV/0!</v>
      </c>
      <c r="I13" s="27" t="e">
        <f>$K$6*2번!$I$10/2번!$I$12*2번!$I$14+$H$12+$H$12</f>
        <v>#DIV/0!</v>
      </c>
      <c r="J13" s="27" t="e">
        <f>($K$6*2번!$I$10/2번!$I$12*2번!$I$14+$H$12+$H$12)*2-$K$12-$K$12</f>
        <v>#DIV/0!</v>
      </c>
      <c r="K13" s="30" t="e">
        <f>2번!$I$8/60*2번!$I$10/2번!$I$12*2</f>
        <v>#DIV/0!</v>
      </c>
      <c r="L13" s="23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4.25">
      <c r="A14" s="48"/>
      <c r="B14" s="18"/>
      <c r="C14" s="26"/>
      <c r="D14" s="49"/>
      <c r="E14" s="34"/>
      <c r="F14" s="30" t="e">
        <f>$K$6*2번!$I$10/2번!$I$12*2번!$I$14</f>
        <v>#DIV/0!</v>
      </c>
      <c r="G14" s="30" t="e">
        <f>$K$6*2번!$I$10/2번!$I$12*2번!$I$14*3</f>
        <v>#DIV/0!</v>
      </c>
      <c r="H14" s="30" t="e">
        <f>2번!$I$8/60*2번!$I$10/2번!$I$12*3</f>
        <v>#DIV/0!</v>
      </c>
      <c r="I14" s="27" t="e">
        <f>$K$6*2번!$I$10/2번!$I$12*2번!$I$14+$H$12+$H$12+$H$12</f>
        <v>#DIV/0!</v>
      </c>
      <c r="J14" s="27" t="e">
        <f>($K$6*2번!$I$10/2번!$I$12*2번!$I$14+$H$12+$H$12+$H$12)*2-(K12*3)</f>
        <v>#DIV/0!</v>
      </c>
      <c r="K14" s="30" t="e">
        <f>2번!$I$8/60*2번!$I$10/2번!$I$12*3</f>
        <v>#DIV/0!</v>
      </c>
      <c r="L14" s="23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4.25">
      <c r="A15" s="16"/>
      <c r="B15" s="1"/>
      <c r="C15" s="1"/>
      <c r="D15" s="1"/>
      <c r="E15" s="34"/>
      <c r="F15" s="30" t="e">
        <f>$K$6*2번!$I$10/2번!$I$12*2번!$I$14*2</f>
        <v>#DIV/0!</v>
      </c>
      <c r="G15" s="30" t="e">
        <f>$K$6*2번!$I$10/2번!$I$12*2번!$I$14*4</f>
        <v>#DIV/0!</v>
      </c>
      <c r="H15" s="30" t="e">
        <f>2번!$I$8/60*2번!$I$10/2번!$I$12*4</f>
        <v>#DIV/0!</v>
      </c>
      <c r="I15" s="27" t="e">
        <f>$K$6*2번!$I$10/2번!$I$12*2번!$I$14+$H$12+$H$12+$H$12+$H$12</f>
        <v>#DIV/0!</v>
      </c>
      <c r="J15" s="27" t="e">
        <f>($K$6*2번!$I$10/2번!$I$12*2번!$I$14+$H$12+$H$12+$H$12+$H$12)*2-($K$12*4)</f>
        <v>#DIV/0!</v>
      </c>
      <c r="K15" s="30" t="e">
        <f>2번!$I$8/60*2번!$I$10/2번!$I$12*4</f>
        <v>#DIV/0!</v>
      </c>
      <c r="L15" s="23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4.25">
      <c r="A16" s="16"/>
      <c r="B16" s="1"/>
      <c r="C16" s="1"/>
      <c r="D16" s="1"/>
      <c r="E16" s="35"/>
      <c r="F16" s="30" t="e">
        <f>$K$6*2번!$I$10/2번!$I$12*2번!$I$14*3</f>
        <v>#DIV/0!</v>
      </c>
      <c r="G16" s="30" t="e">
        <f>$K$6*2번!$I$10/2번!$I$12*2번!$I$14*5</f>
        <v>#DIV/0!</v>
      </c>
      <c r="H16" s="30" t="e">
        <f>2번!$I$8/60*2번!$I$10/2번!$I$12*5</f>
        <v>#DIV/0!</v>
      </c>
      <c r="I16" s="27" t="e">
        <f>$K$6*2번!$I$10/2번!$I$12*2번!$I$14+$H$12+$H$12+$H$12+$H$12+$H$12</f>
        <v>#DIV/0!</v>
      </c>
      <c r="J16" s="27" t="e">
        <f>($K$6*2번!$I$10/2번!$I$12*2번!$I$14+$H$12+$H$12+$H$12+$H$12+$H$12)*2-(K12*5)</f>
        <v>#DIV/0!</v>
      </c>
      <c r="K16" s="30" t="e">
        <f>2번!$I$8/60*2번!$I$10/2번!$I$12*5</f>
        <v>#DIV/0!</v>
      </c>
      <c r="L16" s="23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4.25">
      <c r="A17" s="16"/>
      <c r="B17" s="1"/>
      <c r="C17" s="1"/>
      <c r="D17" s="1"/>
      <c r="E17" s="32"/>
      <c r="F17" s="28"/>
      <c r="G17" s="28"/>
      <c r="H17" s="28"/>
      <c r="I17" s="27"/>
      <c r="J17" s="42"/>
      <c r="K17" s="28"/>
      <c r="L17" s="22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4.25">
      <c r="A18" s="16"/>
      <c r="B18" s="1"/>
      <c r="C18" s="1"/>
      <c r="D18" s="1"/>
      <c r="E18" s="31"/>
      <c r="F18" s="29"/>
      <c r="G18" s="29"/>
      <c r="H18" s="29"/>
      <c r="I18" s="39"/>
      <c r="J18" s="43"/>
      <c r="K18" s="29"/>
      <c r="L18" s="24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4.25">
      <c r="A19" s="16"/>
      <c r="B19" s="1"/>
      <c r="C19" s="1"/>
      <c r="D19" s="1"/>
      <c r="E19" s="34"/>
      <c r="F19" s="30"/>
      <c r="G19" s="30"/>
      <c r="H19" s="30"/>
      <c r="I19" s="40"/>
      <c r="J19" s="44"/>
      <c r="K19" s="30"/>
      <c r="L19" s="23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4.25">
      <c r="A20" s="16"/>
      <c r="B20" s="1"/>
      <c r="C20" s="1"/>
      <c r="D20" s="1"/>
      <c r="E20" s="34"/>
      <c r="F20" s="30"/>
      <c r="G20" s="30"/>
      <c r="H20" s="30"/>
      <c r="I20" s="40"/>
      <c r="J20" s="44"/>
      <c r="K20" s="30"/>
      <c r="L20" s="23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4.25">
      <c r="A21" s="16"/>
      <c r="B21" s="1"/>
      <c r="C21" s="1"/>
      <c r="D21" s="1"/>
      <c r="E21" s="34"/>
      <c r="F21" s="30"/>
      <c r="G21" s="30"/>
      <c r="H21" s="30"/>
      <c r="I21" s="40"/>
      <c r="J21" s="44"/>
      <c r="K21" s="30"/>
      <c r="L21" s="23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4.25">
      <c r="A22" s="16"/>
      <c r="B22" s="1"/>
      <c r="C22" s="1"/>
      <c r="D22" s="1"/>
      <c r="E22" s="34"/>
      <c r="F22" s="30"/>
      <c r="G22" s="30"/>
      <c r="H22" s="30"/>
      <c r="I22" s="40"/>
      <c r="J22" s="44"/>
      <c r="K22" s="30"/>
      <c r="L22" s="23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4.25">
      <c r="A23" s="16"/>
      <c r="B23" s="1"/>
      <c r="C23" s="1"/>
      <c r="D23" s="1"/>
      <c r="E23" s="36"/>
      <c r="F23" s="28"/>
      <c r="G23" s="28"/>
      <c r="H23" s="28"/>
      <c r="I23" s="41"/>
      <c r="J23" s="42"/>
      <c r="K23" s="28"/>
      <c r="L23" s="22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4.25">
      <c r="A24" s="16"/>
      <c r="B24" s="1"/>
      <c r="C24" s="1"/>
      <c r="D24" s="1"/>
      <c r="E24" s="1"/>
      <c r="F24" s="1"/>
      <c r="G24" s="1"/>
      <c r="H24" s="1"/>
      <c r="I24" s="1"/>
      <c r="J24" s="1"/>
      <c r="K24" s="1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4.25">
      <c r="A25" s="16"/>
      <c r="B25" s="1"/>
      <c r="C25" s="1"/>
      <c r="D25" s="1"/>
      <c r="E25" s="1"/>
      <c r="F25" s="1"/>
      <c r="G25" s="1"/>
      <c r="H25" s="1"/>
      <c r="I25" s="1"/>
      <c r="J25" s="1"/>
      <c r="K25" s="1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4.25">
      <c r="A26" s="16"/>
      <c r="B26" s="1"/>
      <c r="C26" s="1"/>
      <c r="D26" s="1"/>
      <c r="E26" s="1"/>
      <c r="F26" s="1"/>
      <c r="G26" s="1"/>
      <c r="H26" s="1"/>
      <c r="I26" s="1"/>
      <c r="J26" s="1"/>
      <c r="K26" s="1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4.25">
      <c r="A27" s="16"/>
      <c r="B27" s="1"/>
      <c r="C27" s="1"/>
      <c r="D27" s="1"/>
      <c r="E27" s="1"/>
      <c r="F27" s="1"/>
      <c r="G27" s="1"/>
      <c r="H27" s="1"/>
      <c r="I27" s="1"/>
      <c r="J27" s="1"/>
      <c r="K27" s="1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4.25">
      <c r="A28" s="16"/>
      <c r="B28" s="1"/>
      <c r="C28" s="1"/>
      <c r="D28" s="1"/>
      <c r="E28" s="1"/>
      <c r="F28" s="1"/>
      <c r="G28" s="1"/>
      <c r="H28" s="1"/>
      <c r="I28" s="1"/>
      <c r="J28" s="1"/>
      <c r="K28" s="1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4.25">
      <c r="A29" s="16"/>
      <c r="B29" s="1"/>
      <c r="C29" s="1"/>
      <c r="D29" s="1"/>
      <c r="E29" s="1"/>
      <c r="F29" s="1"/>
      <c r="G29" s="1"/>
      <c r="H29" s="1"/>
      <c r="I29" s="1"/>
      <c r="J29" s="1"/>
      <c r="K29" s="1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4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4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4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4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4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4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4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4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4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4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4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4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4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4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4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4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4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4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4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4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4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4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4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4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4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4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4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4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4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4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4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4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4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4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4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4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4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4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4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4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4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4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4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4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4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4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4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4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4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4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4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4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4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4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4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4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4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4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4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4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4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4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4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4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4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4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4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4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4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</sheetData>
  <sheetProtection/>
  <printOptions/>
  <pageMargins left="0.75" right="0.75" top="1" bottom="1" header="0.5" footer="0.5"/>
  <pageSetup orientation="portrait" paperSize="9" r:id="rId3"/>
  <headerFooter alignWithMargins="0">
    <oddHeader>&amp;C&amp;A</oddHeader>
    <oddFooter>&amp;C&amp;P 쪽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99"/>
  <sheetViews>
    <sheetView showGridLines="0" showRowColHeaders="0" zoomScalePageLayoutView="0" workbookViewId="0" topLeftCell="A1">
      <selection activeCell="C18" sqref="C18"/>
    </sheetView>
  </sheetViews>
  <sheetFormatPr defaultColWidth="9.00390625" defaultRowHeight="14.25"/>
  <cols>
    <col min="1" max="1" width="4.50390625" style="15" customWidth="1"/>
    <col min="2" max="3" width="9.00390625" style="15" customWidth="1"/>
    <col min="4" max="4" width="3.875" style="15" customWidth="1"/>
    <col min="5" max="7" width="9.00390625" style="15" customWidth="1"/>
    <col min="8" max="8" width="8.75390625" style="15" customWidth="1"/>
    <col min="9" max="9" width="6.875" style="15" customWidth="1"/>
    <col min="10" max="10" width="7.625" style="15" customWidth="1"/>
    <col min="11" max="16384" width="9.00390625" style="15" customWidth="1"/>
  </cols>
  <sheetData>
    <row r="1" spans="1:7" ht="27" customHeight="1">
      <c r="A1" s="51" t="s">
        <v>26</v>
      </c>
      <c r="B1" s="14"/>
      <c r="C1" s="14"/>
      <c r="D1" s="14"/>
      <c r="E1" s="14"/>
      <c r="F1" s="14"/>
      <c r="G1" s="14"/>
    </row>
    <row r="2" spans="1:26" ht="14.25">
      <c r="A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4.25">
      <c r="A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4.25">
      <c r="A4" s="16"/>
      <c r="B4" s="13" t="s">
        <v>27</v>
      </c>
      <c r="C4" s="13"/>
      <c r="D4" s="16"/>
      <c r="E4" s="31" t="s">
        <v>28</v>
      </c>
      <c r="F4" s="20" t="s">
        <v>29</v>
      </c>
      <c r="G4" s="20" t="s">
        <v>30</v>
      </c>
      <c r="H4" s="25" t="s">
        <v>31</v>
      </c>
      <c r="I4" s="17"/>
      <c r="J4" s="38"/>
      <c r="K4" s="20" t="s">
        <v>32</v>
      </c>
      <c r="L4" s="21" t="s">
        <v>33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4.25">
      <c r="A5" s="16"/>
      <c r="B5" s="18" t="s">
        <v>34</v>
      </c>
      <c r="C5" s="26">
        <f>$K$6*3번!$I10</f>
        <v>0</v>
      </c>
      <c r="D5" s="16"/>
      <c r="E5" s="32"/>
      <c r="F5" s="20" t="s">
        <v>35</v>
      </c>
      <c r="G5" s="20" t="s">
        <v>36</v>
      </c>
      <c r="H5" s="20" t="s">
        <v>37</v>
      </c>
      <c r="I5" s="37" t="s">
        <v>38</v>
      </c>
      <c r="J5" s="38"/>
      <c r="K5" s="20" t="s">
        <v>37</v>
      </c>
      <c r="L5" s="22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4.25">
      <c r="A6" s="16"/>
      <c r="B6" s="18"/>
      <c r="C6" s="26"/>
      <c r="D6" s="16"/>
      <c r="E6" s="33" t="s">
        <v>40</v>
      </c>
      <c r="F6" s="29">
        <f>1/3*$C$5</f>
        <v>0</v>
      </c>
      <c r="G6" s="29">
        <f>$K$6*3번!$I$10</f>
        <v>0</v>
      </c>
      <c r="H6" s="27">
        <f>3번!$I$8/60</f>
        <v>0</v>
      </c>
      <c r="I6" s="39">
        <f>$K$6*3번!$I$10+$K$6</f>
        <v>0</v>
      </c>
      <c r="J6" s="43">
        <f>($K$6*3번!$I$10+$K$6)*2-$K$6</f>
        <v>0</v>
      </c>
      <c r="K6" s="27">
        <f>3번!$I$8/60</f>
        <v>0</v>
      </c>
      <c r="L6" s="24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4.25">
      <c r="A7" s="16"/>
      <c r="B7" s="19"/>
      <c r="C7" s="26"/>
      <c r="D7" s="16"/>
      <c r="E7" s="34"/>
      <c r="F7" s="30">
        <f>1/2*$C$5</f>
        <v>0</v>
      </c>
      <c r="G7" s="30">
        <f>$K$6*3번!$I$10*2</f>
        <v>0</v>
      </c>
      <c r="H7" s="27">
        <f>3번!$I$8/60*2</f>
        <v>0</v>
      </c>
      <c r="I7" s="40">
        <f>$K$6*3번!$I$10+($K$6*2)</f>
        <v>0</v>
      </c>
      <c r="J7" s="44">
        <f>($K$6*3번!$I$10+($K$6*2))*2-$K$6-$K$6</f>
        <v>0</v>
      </c>
      <c r="K7" s="27">
        <f>3번!$I$8/60*2</f>
        <v>0</v>
      </c>
      <c r="L7" s="23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4.25">
      <c r="A8" s="16"/>
      <c r="B8" s="48"/>
      <c r="C8" s="27"/>
      <c r="D8" s="16"/>
      <c r="E8" s="34"/>
      <c r="F8" s="30">
        <f>$K$6*3번!$I$10</f>
        <v>0</v>
      </c>
      <c r="G8" s="30">
        <f>$K$6*3번!$I$10*3</f>
        <v>0</v>
      </c>
      <c r="H8" s="27">
        <f>3번!$I$8/60*3</f>
        <v>0</v>
      </c>
      <c r="I8" s="40">
        <f>$K$6*3번!$I$10+($K$6*3)</f>
        <v>0</v>
      </c>
      <c r="J8" s="44">
        <f>($K$6*3번!$I$10+($K$6*3))*2-$K$6-$K$6-$K$6</f>
        <v>0</v>
      </c>
      <c r="K8" s="27">
        <f>3번!$I$8/60*3</f>
        <v>0</v>
      </c>
      <c r="L8" s="23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4.25">
      <c r="A9" s="16"/>
      <c r="B9" s="16"/>
      <c r="C9" s="16"/>
      <c r="D9" s="16"/>
      <c r="E9" s="34"/>
      <c r="F9" s="30">
        <f>$K$6*3번!$I$10*2</f>
        <v>0</v>
      </c>
      <c r="G9" s="30">
        <f>$K$6*3번!$I$10*4</f>
        <v>0</v>
      </c>
      <c r="H9" s="27">
        <f>3번!$I$8/60*4</f>
        <v>0</v>
      </c>
      <c r="I9" s="40">
        <f>$K$6*3번!$I$10+($K$6*4)</f>
        <v>0</v>
      </c>
      <c r="J9" s="44">
        <f>($K$6*3번!$I$10+($K$6*4))*2-($K$6*4)</f>
        <v>0</v>
      </c>
      <c r="K9" s="27">
        <f>3번!$I$8/60*4</f>
        <v>0</v>
      </c>
      <c r="L9" s="23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4.25">
      <c r="A10" s="16"/>
      <c r="B10" s="13" t="s">
        <v>43</v>
      </c>
      <c r="C10" s="13"/>
      <c r="D10"/>
      <c r="E10" s="35"/>
      <c r="F10" s="30">
        <f>$K$6*3번!$I$10*3</f>
        <v>0</v>
      </c>
      <c r="G10" s="30">
        <f>$K$6*3번!$I$10*5</f>
        <v>0</v>
      </c>
      <c r="H10" s="27">
        <f>3번!$I$8/60*5</f>
        <v>0</v>
      </c>
      <c r="I10" s="40">
        <f>$K$6*3번!$I$10+($K$6*5)</f>
        <v>0</v>
      </c>
      <c r="J10" s="44">
        <f>($K$6*3번!$I$10+($K$6*5))*2-(K6*5)</f>
        <v>0</v>
      </c>
      <c r="K10" s="27">
        <f>3번!$I$8/60*5</f>
        <v>0</v>
      </c>
      <c r="L10" s="23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4.25">
      <c r="A11" s="16"/>
      <c r="B11" s="18" t="s">
        <v>44</v>
      </c>
      <c r="C11" s="26">
        <f>3번!$I$8/60</f>
        <v>0</v>
      </c>
      <c r="D11" s="1"/>
      <c r="E11" s="32"/>
      <c r="F11" s="28"/>
      <c r="G11" s="28"/>
      <c r="H11" s="28"/>
      <c r="I11" s="41"/>
      <c r="J11" s="42"/>
      <c r="K11" s="28"/>
      <c r="L11" s="22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4.25">
      <c r="A12" s="16"/>
      <c r="B12" s="18" t="s">
        <v>45</v>
      </c>
      <c r="C12" s="26" t="e">
        <f>$C$5/3번!$I$12</f>
        <v>#DIV/0!</v>
      </c>
      <c r="D12" s="1"/>
      <c r="E12" s="31"/>
      <c r="F12" s="29"/>
      <c r="G12" s="29"/>
      <c r="H12" s="29"/>
      <c r="I12" s="27"/>
      <c r="J12" s="27"/>
      <c r="K12" s="29"/>
      <c r="L12" s="24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4.25">
      <c r="A13" s="16"/>
      <c r="B13" s="18"/>
      <c r="C13" s="26"/>
      <c r="D13" s="1"/>
      <c r="E13" s="34"/>
      <c r="F13" s="30"/>
      <c r="G13" s="30"/>
      <c r="H13" s="30"/>
      <c r="I13" s="27"/>
      <c r="J13" s="27"/>
      <c r="K13" s="30"/>
      <c r="L13" s="23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4.25">
      <c r="A14" s="48"/>
      <c r="B14" s="18"/>
      <c r="C14" s="26"/>
      <c r="D14" s="49"/>
      <c r="E14" s="34"/>
      <c r="F14" s="30"/>
      <c r="G14" s="30"/>
      <c r="H14" s="30"/>
      <c r="I14" s="27"/>
      <c r="J14" s="27"/>
      <c r="K14" s="30"/>
      <c r="L14" s="23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4.25">
      <c r="A15" s="16"/>
      <c r="B15" s="1"/>
      <c r="C15" s="1"/>
      <c r="D15" s="1"/>
      <c r="E15" s="34"/>
      <c r="F15" s="30"/>
      <c r="G15" s="30"/>
      <c r="H15" s="30"/>
      <c r="I15" s="27"/>
      <c r="J15" s="27"/>
      <c r="K15" s="30"/>
      <c r="L15" s="23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4.25">
      <c r="A16" s="16"/>
      <c r="B16" s="1"/>
      <c r="C16" s="1"/>
      <c r="D16" s="1"/>
      <c r="E16" s="35"/>
      <c r="F16" s="30"/>
      <c r="G16" s="30"/>
      <c r="H16" s="30"/>
      <c r="I16" s="27"/>
      <c r="J16" s="27"/>
      <c r="K16" s="30"/>
      <c r="L16" s="23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4.25">
      <c r="A17" s="16"/>
      <c r="B17" s="1"/>
      <c r="C17" s="1"/>
      <c r="D17" s="1"/>
      <c r="E17" s="32"/>
      <c r="F17" s="28"/>
      <c r="G17" s="28"/>
      <c r="H17" s="28"/>
      <c r="I17" s="27"/>
      <c r="J17" s="42"/>
      <c r="K17" s="28"/>
      <c r="L17" s="22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4.25">
      <c r="A18" s="16"/>
      <c r="B18" s="1"/>
      <c r="C18" s="1"/>
      <c r="D18" s="1"/>
      <c r="E18" s="31"/>
      <c r="F18" s="29"/>
      <c r="G18" s="29"/>
      <c r="H18" s="29"/>
      <c r="I18" s="39"/>
      <c r="J18" s="43"/>
      <c r="K18" s="29"/>
      <c r="L18" s="24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4.25">
      <c r="A19" s="16"/>
      <c r="B19" s="1"/>
      <c r="C19" s="1"/>
      <c r="D19" s="1"/>
      <c r="E19" s="34"/>
      <c r="F19" s="30"/>
      <c r="G19" s="30"/>
      <c r="H19" s="30"/>
      <c r="I19" s="40"/>
      <c r="J19" s="44"/>
      <c r="K19" s="30"/>
      <c r="L19" s="23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4.25">
      <c r="A20" s="16"/>
      <c r="B20" s="1"/>
      <c r="C20" s="1"/>
      <c r="D20" s="1"/>
      <c r="E20" s="34"/>
      <c r="F20" s="30"/>
      <c r="G20" s="30"/>
      <c r="H20" s="30"/>
      <c r="I20" s="40"/>
      <c r="J20" s="44"/>
      <c r="K20" s="30"/>
      <c r="L20" s="23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4.25">
      <c r="A21" s="16"/>
      <c r="B21" s="1"/>
      <c r="C21" s="1"/>
      <c r="D21" s="1"/>
      <c r="E21" s="34"/>
      <c r="F21" s="30"/>
      <c r="G21" s="30"/>
      <c r="H21" s="30"/>
      <c r="I21" s="40"/>
      <c r="J21" s="44"/>
      <c r="K21" s="30"/>
      <c r="L21" s="23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4.25">
      <c r="A22" s="16"/>
      <c r="B22" s="1"/>
      <c r="C22" s="1"/>
      <c r="D22" s="1"/>
      <c r="E22" s="34"/>
      <c r="F22" s="30"/>
      <c r="G22" s="30"/>
      <c r="H22" s="30"/>
      <c r="I22" s="40"/>
      <c r="J22" s="44"/>
      <c r="K22" s="30"/>
      <c r="L22" s="23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4.25">
      <c r="A23" s="16"/>
      <c r="B23" s="1"/>
      <c r="C23" s="1"/>
      <c r="D23" s="1"/>
      <c r="E23" s="36"/>
      <c r="F23" s="28"/>
      <c r="G23" s="28"/>
      <c r="H23" s="28"/>
      <c r="I23" s="41"/>
      <c r="J23" s="42"/>
      <c r="K23" s="28"/>
      <c r="L23" s="22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4.25">
      <c r="A24" s="16"/>
      <c r="B24" s="1"/>
      <c r="C24" s="1"/>
      <c r="D24" s="1"/>
      <c r="E24" s="1"/>
      <c r="F24" s="1"/>
      <c r="G24" s="1"/>
      <c r="H24" s="1"/>
      <c r="I24" s="1"/>
      <c r="J24" s="1"/>
      <c r="K24" s="1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4.25">
      <c r="A25" s="16"/>
      <c r="B25" s="1"/>
      <c r="C25" s="1"/>
      <c r="D25" s="1"/>
      <c r="E25" s="1"/>
      <c r="F25" s="1"/>
      <c r="G25" s="1"/>
      <c r="H25" s="1"/>
      <c r="I25" s="1"/>
      <c r="J25" s="1"/>
      <c r="K25" s="1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4.25">
      <c r="A26" s="16"/>
      <c r="B26" s="1"/>
      <c r="C26" s="1"/>
      <c r="D26" s="1"/>
      <c r="E26" s="1"/>
      <c r="F26" s="1"/>
      <c r="G26" s="1"/>
      <c r="H26" s="1"/>
      <c r="I26" s="1"/>
      <c r="J26" s="1"/>
      <c r="K26" s="1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4.25">
      <c r="A27" s="16"/>
      <c r="B27" s="1"/>
      <c r="C27" s="1"/>
      <c r="D27" s="1"/>
      <c r="E27" s="1"/>
      <c r="F27" s="1"/>
      <c r="G27" s="1"/>
      <c r="H27" s="1"/>
      <c r="I27" s="1"/>
      <c r="J27" s="1"/>
      <c r="K27" s="1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4.25">
      <c r="A28" s="16"/>
      <c r="B28" s="1"/>
      <c r="C28" s="1"/>
      <c r="D28" s="1"/>
      <c r="E28" s="1"/>
      <c r="F28" s="1"/>
      <c r="G28" s="1"/>
      <c r="H28" s="1"/>
      <c r="I28" s="1"/>
      <c r="J28" s="1"/>
      <c r="K28" s="1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4.25">
      <c r="A29" s="16"/>
      <c r="B29" s="1"/>
      <c r="C29" s="1"/>
      <c r="D29" s="1"/>
      <c r="E29" s="1"/>
      <c r="F29" s="1"/>
      <c r="G29" s="1"/>
      <c r="H29" s="1"/>
      <c r="I29" s="1"/>
      <c r="J29" s="1"/>
      <c r="K29" s="1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4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4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4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4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4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4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4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4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4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4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4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4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4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4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4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4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4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4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4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4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4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4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4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4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4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4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4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4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4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4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4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4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4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4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4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4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4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4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4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4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4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4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4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4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4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4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4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4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4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4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4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4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4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4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4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4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4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4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4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4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4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4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4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4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4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4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4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4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4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 쪽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99"/>
  <sheetViews>
    <sheetView showGridLines="0" showRowColHeaders="0" zoomScalePageLayoutView="0" workbookViewId="0" topLeftCell="A1">
      <selection activeCell="B9" sqref="B9"/>
    </sheetView>
  </sheetViews>
  <sheetFormatPr defaultColWidth="9.00390625" defaultRowHeight="14.25"/>
  <cols>
    <col min="1" max="1" width="4.50390625" style="15" customWidth="1"/>
    <col min="2" max="2" width="16.625" style="15" customWidth="1"/>
    <col min="3" max="3" width="9.00390625" style="15" customWidth="1"/>
    <col min="4" max="4" width="3.875" style="15" customWidth="1"/>
    <col min="5" max="5" width="9.125" style="15" customWidth="1"/>
    <col min="6" max="7" width="9.00390625" style="15" customWidth="1"/>
    <col min="8" max="8" width="8.75390625" style="15" customWidth="1"/>
    <col min="9" max="9" width="6.875" style="15" customWidth="1"/>
    <col min="10" max="10" width="7.625" style="15" customWidth="1"/>
    <col min="11" max="16384" width="9.00390625" style="15" customWidth="1"/>
  </cols>
  <sheetData>
    <row r="1" spans="1:7" ht="23.25" customHeight="1">
      <c r="A1" s="51" t="s">
        <v>26</v>
      </c>
      <c r="B1" s="14"/>
      <c r="C1" s="14"/>
      <c r="D1" s="14"/>
      <c r="E1" s="14"/>
      <c r="F1" s="14"/>
      <c r="G1" s="14"/>
    </row>
    <row r="2" spans="1:26" ht="14.25">
      <c r="A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4.25">
      <c r="A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4.25">
      <c r="A4" s="16"/>
      <c r="B4" s="13" t="s">
        <v>27</v>
      </c>
      <c r="C4" s="13"/>
      <c r="D4" s="16"/>
      <c r="E4" s="31" t="s">
        <v>28</v>
      </c>
      <c r="F4" s="20" t="s">
        <v>29</v>
      </c>
      <c r="G4" s="20" t="s">
        <v>30</v>
      </c>
      <c r="H4" s="25" t="s">
        <v>31</v>
      </c>
      <c r="I4" s="17"/>
      <c r="J4" s="38"/>
      <c r="K4" s="20" t="s">
        <v>32</v>
      </c>
      <c r="L4" s="21" t="s">
        <v>33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4.25">
      <c r="A5" s="16"/>
      <c r="B5" s="18" t="s">
        <v>50</v>
      </c>
      <c r="C5" s="26">
        <f>4번!$G$6*4번!$G$8/60</f>
        <v>0</v>
      </c>
      <c r="D5" s="16"/>
      <c r="E5" s="32"/>
      <c r="F5" s="20" t="s">
        <v>35</v>
      </c>
      <c r="G5" s="20" t="s">
        <v>36</v>
      </c>
      <c r="H5" s="20" t="s">
        <v>37</v>
      </c>
      <c r="I5" s="37" t="s">
        <v>38</v>
      </c>
      <c r="J5" s="38"/>
      <c r="K5" s="20" t="s">
        <v>37</v>
      </c>
      <c r="L5" s="22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4.25">
      <c r="A6" s="16"/>
      <c r="B6" s="18" t="s">
        <v>51</v>
      </c>
      <c r="C6" s="26" t="e">
        <f>4번!$G$6*4번!$G$8/4번!$G$12*4번!$G$18/60</f>
        <v>#DIV/0!</v>
      </c>
      <c r="D6" s="16"/>
      <c r="E6" s="33" t="s">
        <v>52</v>
      </c>
      <c r="F6" s="29">
        <f>4번!$G$6*4번!$G$8/60/3</f>
        <v>0</v>
      </c>
      <c r="G6" s="29">
        <f>4번!$G$6*4번!$G$8/60</f>
        <v>0</v>
      </c>
      <c r="H6" s="29">
        <f>4번!$G$6/60</f>
        <v>0</v>
      </c>
      <c r="I6" s="39">
        <f>4번!$G$6*4번!$G$8/60+$H$6</f>
        <v>0</v>
      </c>
      <c r="J6" s="43">
        <f>4번!$G$6*4번!$G$8/60*2+$H$6</f>
        <v>0</v>
      </c>
      <c r="K6" s="29">
        <f>4번!$G$6/60</f>
        <v>0</v>
      </c>
      <c r="L6" s="24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4.25">
      <c r="A7" s="16"/>
      <c r="B7" s="68" t="s">
        <v>53</v>
      </c>
      <c r="C7" s="26" t="e">
        <f>4번!$G$6*4번!$G$8/4번!$J$12*4번!$J$18/60</f>
        <v>#DIV/0!</v>
      </c>
      <c r="D7" s="16"/>
      <c r="E7" s="34"/>
      <c r="F7" s="30">
        <f>4번!$G$6*4번!$G$8/60/2</f>
        <v>0</v>
      </c>
      <c r="G7" s="30">
        <f>4번!$G$6*4번!$G$8/60*2</f>
        <v>0</v>
      </c>
      <c r="H7" s="30">
        <f>4번!$G$6/60*2</f>
        <v>0</v>
      </c>
      <c r="I7" s="40">
        <f>4번!$G$6*4번!$G$8/60+$H$6+$H$6</f>
        <v>0</v>
      </c>
      <c r="J7" s="44">
        <f>4번!$G$6*4번!$G$8/60*2+$H$6+$H$6</f>
        <v>0</v>
      </c>
      <c r="K7" s="30">
        <f>4번!$G$6/60*2</f>
        <v>0</v>
      </c>
      <c r="L7" s="23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4.25">
      <c r="A8" s="16"/>
      <c r="B8" s="18" t="s">
        <v>54</v>
      </c>
      <c r="C8" s="26" t="e">
        <f>4번!$G$6*4번!$G$8/4번!$G$12*4/60</f>
        <v>#DIV/0!</v>
      </c>
      <c r="D8" s="16"/>
      <c r="E8" s="34"/>
      <c r="F8" s="30">
        <f>4번!$G$6*4번!$G$8/60</f>
        <v>0</v>
      </c>
      <c r="G8" s="30">
        <f>4번!$G$6*4번!$G$8/60*3</f>
        <v>0</v>
      </c>
      <c r="H8" s="30">
        <f>4번!$G$6/60*3</f>
        <v>0</v>
      </c>
      <c r="I8" s="40">
        <f>4번!$G$6*4번!$G$8/60+$H$6+$H$6+$H$6</f>
        <v>0</v>
      </c>
      <c r="J8" s="44">
        <f>4번!$G$6*4번!$G$8/60*2+$H$6+$H$6+$H$6</f>
        <v>0</v>
      </c>
      <c r="K8" s="30">
        <f>4번!$G$6/60*3</f>
        <v>0</v>
      </c>
      <c r="L8" s="23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4.25">
      <c r="A9" s="16"/>
      <c r="B9" s="18" t="s">
        <v>55</v>
      </c>
      <c r="C9" s="26" t="e">
        <f>4번!$G$6*4번!$G$8/4번!$J$12*4/60</f>
        <v>#DIV/0!</v>
      </c>
      <c r="D9" s="16"/>
      <c r="E9" s="34"/>
      <c r="F9" s="28"/>
      <c r="G9" s="28"/>
      <c r="H9" s="28"/>
      <c r="I9" s="41"/>
      <c r="J9" s="70"/>
      <c r="K9" s="28"/>
      <c r="L9" s="23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4.25">
      <c r="A10" s="16"/>
      <c r="B10" s="81"/>
      <c r="C10" s="1"/>
      <c r="D10"/>
      <c r="E10" s="69" t="s">
        <v>56</v>
      </c>
      <c r="F10" s="29" t="e">
        <f>4번!$G$6*4번!$G$8/4번!$G$12*4번!$G$18/60/3</f>
        <v>#DIV/0!</v>
      </c>
      <c r="G10" s="27" t="e">
        <f>4번!$G$6*4번!$G$8/4번!$G$12*4번!$G$18/60</f>
        <v>#DIV/0!</v>
      </c>
      <c r="H10" s="29" t="e">
        <f>4번!$G$6/60*4번!$G$8/4번!$G$12</f>
        <v>#DIV/0!</v>
      </c>
      <c r="I10" s="27" t="e">
        <f>4번!$G$6*4번!$G$8/4번!$G$12*4번!$G$18/60+$H$10</f>
        <v>#DIV/0!</v>
      </c>
      <c r="J10" s="27" t="e">
        <f>4번!$G$6*4번!$G$8/4번!$G$12*4번!$G$18/60*2+$H$10</f>
        <v>#DIV/0!</v>
      </c>
      <c r="K10" s="29" t="e">
        <f>4번!$G$6/60*4번!$G$8/4번!$G$12</f>
        <v>#DIV/0!</v>
      </c>
      <c r="L10" s="24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4.25">
      <c r="A11" s="16"/>
      <c r="B11" s="13" t="s">
        <v>43</v>
      </c>
      <c r="C11" s="13"/>
      <c r="D11" s="1"/>
      <c r="E11" s="34" t="s">
        <v>28</v>
      </c>
      <c r="F11" s="30" t="e">
        <f>4번!$G$6*4번!$G$8/4번!$G$12*4번!$G$18/60/2</f>
        <v>#DIV/0!</v>
      </c>
      <c r="G11" s="27" t="e">
        <f>4번!$G$6*4번!$G$8/4번!$G$12*4번!$G$18/60*2</f>
        <v>#DIV/0!</v>
      </c>
      <c r="H11" s="30" t="e">
        <f>4번!$G$6/60*4번!$G$8/4번!$G$12*2</f>
        <v>#DIV/0!</v>
      </c>
      <c r="I11" s="27" t="e">
        <f>4번!$G$6*4번!$G$8/4번!$G$12*4번!$G$18/60+($H$10*2)</f>
        <v>#DIV/0!</v>
      </c>
      <c r="J11" s="27" t="e">
        <f>4번!$G$6*4번!$G$8/4번!$G$12*4번!$G$18/60*2+($H$10*2)</f>
        <v>#DIV/0!</v>
      </c>
      <c r="K11" s="30" t="e">
        <f>4번!$G$6/60*4번!$G$8/4번!$G$12*2</f>
        <v>#DIV/0!</v>
      </c>
      <c r="L11" s="23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4.25">
      <c r="A12" s="16"/>
      <c r="B12" s="19" t="s">
        <v>57</v>
      </c>
      <c r="C12" s="26">
        <f>4번!$G$6/60</f>
        <v>0</v>
      </c>
      <c r="D12" s="1"/>
      <c r="E12" s="34"/>
      <c r="F12" s="30" t="e">
        <f>4번!$G$6*4번!$G$8/4번!$G$12*4번!$G$18/60</f>
        <v>#DIV/0!</v>
      </c>
      <c r="G12" s="27" t="e">
        <f>4번!$G$6*4번!$G$8/4번!$G$12*4번!$G$18/60*3</f>
        <v>#DIV/0!</v>
      </c>
      <c r="H12" s="30" t="e">
        <f>4번!$G$6/60*4번!$G$8/4번!$G$12*3</f>
        <v>#DIV/0!</v>
      </c>
      <c r="I12" s="27" t="e">
        <f>4번!$G$6*4번!$G$8/4번!$G$12*4번!$G$18/60+($H$10*3)</f>
        <v>#DIV/0!</v>
      </c>
      <c r="J12" s="27" t="e">
        <f>4번!$G$6*4번!$G$8/4번!$G$12*4번!$G$18/60*2+($H$10*3)</f>
        <v>#DIV/0!</v>
      </c>
      <c r="K12" s="30" t="e">
        <f>4번!$G$6/60*4번!$G$8/4번!$G$12*3</f>
        <v>#DIV/0!</v>
      </c>
      <c r="L12" s="23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4.25">
      <c r="A13" s="16"/>
      <c r="B13" s="18" t="s">
        <v>58</v>
      </c>
      <c r="C13" s="29" t="e">
        <f>4번!$G$6/60*4번!$G$8/4번!$G$12</f>
        <v>#DIV/0!</v>
      </c>
      <c r="D13" s="1"/>
      <c r="E13" s="34"/>
      <c r="F13" s="28"/>
      <c r="G13" s="27"/>
      <c r="H13" s="28"/>
      <c r="I13" s="27"/>
      <c r="J13" s="27"/>
      <c r="K13" s="28"/>
      <c r="L13" s="23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4.25">
      <c r="A14" s="16"/>
      <c r="B14" s="19" t="s">
        <v>59</v>
      </c>
      <c r="C14" s="26" t="e">
        <f>4번!$G$6/60*4번!$G$8/4번!$G$12*4번!$G$14/4번!$G$16</f>
        <v>#DIV/0!</v>
      </c>
      <c r="D14" s="1"/>
      <c r="E14" s="69" t="s">
        <v>60</v>
      </c>
      <c r="F14" s="29" t="e">
        <f>4번!$G$6*4번!$G$8/4번!$J$12*4번!$J$18/60/3</f>
        <v>#DIV/0!</v>
      </c>
      <c r="G14" s="29" t="e">
        <f>4번!$G$6*4번!$G$8/4번!$J$12*4번!$J$18/60</f>
        <v>#DIV/0!</v>
      </c>
      <c r="H14" s="29" t="e">
        <f>4번!$G$6/60*4번!$G$8/4번!$J$12</f>
        <v>#DIV/0!</v>
      </c>
      <c r="I14" s="39" t="e">
        <f>4번!$G$6*4번!$G$8/4번!$J$12*4번!$J$18/60+$H$14</f>
        <v>#DIV/0!</v>
      </c>
      <c r="J14" s="43" t="e">
        <f>4번!$G$6*4번!$G$8/4번!$J$12*4번!$J$18/60*2+$H$14</f>
        <v>#DIV/0!</v>
      </c>
      <c r="K14" s="29" t="e">
        <f>4번!$G$6/60*4번!$G$8/4번!$J$12</f>
        <v>#DIV/0!</v>
      </c>
      <c r="L14" s="24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4.25">
      <c r="A15" s="16"/>
      <c r="B15" s="19" t="s">
        <v>61</v>
      </c>
      <c r="C15" s="26" t="e">
        <f>4번!$G$6/60*4번!$G$8/4번!$J$12</f>
        <v>#DIV/0!</v>
      </c>
      <c r="D15" s="1"/>
      <c r="E15" s="34" t="s">
        <v>28</v>
      </c>
      <c r="F15" s="30" t="e">
        <f>4번!$G$6*4번!$G$8/4번!$J$12*4번!$J$18/60/2</f>
        <v>#DIV/0!</v>
      </c>
      <c r="G15" s="30" t="e">
        <f>4번!$G$6*4번!$G$8/4번!$J$12*4번!$J$18/60*2</f>
        <v>#DIV/0!</v>
      </c>
      <c r="H15" s="30" t="e">
        <f>4번!$G$6/60*4번!$G$8/4번!$J$12*2</f>
        <v>#DIV/0!</v>
      </c>
      <c r="I15" s="40" t="e">
        <f>4번!$G$6*4번!$G$8/4번!$J$12*4번!$J$18/60+($H$14*2)</f>
        <v>#DIV/0!</v>
      </c>
      <c r="J15" s="44" t="e">
        <f>4번!$G$6*4번!$G$8/4번!$J$12*4번!$J$18/60*2+($H$14*2)</f>
        <v>#DIV/0!</v>
      </c>
      <c r="K15" s="30" t="e">
        <f>4번!$G$6/60*4번!$G$8/4번!$J$12*2</f>
        <v>#DIV/0!</v>
      </c>
      <c r="L15" s="23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4.25">
      <c r="A16" s="16"/>
      <c r="B16" s="19" t="s">
        <v>62</v>
      </c>
      <c r="C16" s="26" t="e">
        <f>4번!$G$6/60*4번!$G$8/4번!$J$12*4번!$J$14/4번!$J$16</f>
        <v>#DIV/0!</v>
      </c>
      <c r="D16" s="1"/>
      <c r="E16" s="34"/>
      <c r="F16" s="30" t="e">
        <f>4번!$G$6*4번!$G$8/4번!$J$12*4번!$J$18/60</f>
        <v>#DIV/0!</v>
      </c>
      <c r="G16" s="30" t="e">
        <f>4번!$G$6*4번!$G$8/4번!$J$12*4번!$J$18/60*3</f>
        <v>#DIV/0!</v>
      </c>
      <c r="H16" s="30" t="e">
        <f>4번!$G$6/60*4번!$G$8/4번!$J$12*3</f>
        <v>#DIV/0!</v>
      </c>
      <c r="I16" s="40" t="e">
        <f>4번!$G$6*4번!$G$8/4번!$J$12*4번!$J$18/60+($H$14*3)</f>
        <v>#DIV/0!</v>
      </c>
      <c r="J16" s="44" t="e">
        <f>4번!$G$6*4번!$G$8/4번!$J$12*4번!$J$18/60*2+($H$14*3)</f>
        <v>#DIV/0!</v>
      </c>
      <c r="K16" s="30" t="e">
        <f>4번!$G$6/60*4번!$G$8/4번!$J$12*3</f>
        <v>#DIV/0!</v>
      </c>
      <c r="L16" s="23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4.25">
      <c r="A17" s="16"/>
      <c r="B17" s="1"/>
      <c r="C17" s="1"/>
      <c r="D17" s="1"/>
      <c r="E17" s="34"/>
      <c r="F17" s="28"/>
      <c r="G17" s="28"/>
      <c r="H17" s="28"/>
      <c r="I17" s="41"/>
      <c r="J17" s="70"/>
      <c r="K17" s="28"/>
      <c r="L17" s="23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4.25">
      <c r="A18" s="16"/>
      <c r="B18" s="1"/>
      <c r="C18" s="1"/>
      <c r="D18" s="1"/>
      <c r="E18" s="69" t="s">
        <v>63</v>
      </c>
      <c r="F18" s="29" t="e">
        <f>4번!$G$6*4번!$G$8/4번!$G$12*4/60/3</f>
        <v>#DIV/0!</v>
      </c>
      <c r="G18" s="29" t="e">
        <f>4번!$G$6*4번!$G$8/4번!$G$12*4/60</f>
        <v>#DIV/0!</v>
      </c>
      <c r="H18" s="29" t="e">
        <f>4번!$G$6/60*4번!$G$8/4번!$G$12</f>
        <v>#DIV/0!</v>
      </c>
      <c r="I18" s="39" t="e">
        <f>4번!$G$6*4번!$G$8/4번!$G$12*4/60+$H$18</f>
        <v>#DIV/0!</v>
      </c>
      <c r="J18" s="43" t="e">
        <f>4번!$G$6*4번!$G$8/4번!$G$12*4/60*2+$H$18</f>
        <v>#DIV/0!</v>
      </c>
      <c r="K18" s="29" t="e">
        <f>4번!$G$6/60*4번!$G$8/4번!$G$12</f>
        <v>#DIV/0!</v>
      </c>
      <c r="L18" s="24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4.25">
      <c r="A19" s="16"/>
      <c r="B19" s="1"/>
      <c r="C19" s="1"/>
      <c r="D19" s="1"/>
      <c r="E19" s="34"/>
      <c r="F19" s="30" t="e">
        <f>4번!$G$6*4번!$G$8/4번!$G$12*4/60/2</f>
        <v>#DIV/0!</v>
      </c>
      <c r="G19" s="30" t="e">
        <f>4번!$G$6*4번!$G$8/4번!$G$12*4/60*2</f>
        <v>#DIV/0!</v>
      </c>
      <c r="H19" s="30" t="e">
        <f>4번!$G$6/60*4번!$G$8/4번!$G$12*2</f>
        <v>#DIV/0!</v>
      </c>
      <c r="I19" s="40" t="e">
        <f>4번!$G$6*4번!$G$8/4번!$G$12*4/60+($H$18*2)</f>
        <v>#DIV/0!</v>
      </c>
      <c r="J19" s="44" t="e">
        <f>4번!$G$6*4번!$G$8/4번!$G$12*4/60*2+($H$18*2)</f>
        <v>#DIV/0!</v>
      </c>
      <c r="K19" s="30" t="e">
        <f>4번!$G$6/60*4번!$G$8/4번!$G$12*2</f>
        <v>#DIV/0!</v>
      </c>
      <c r="L19" s="23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4.25">
      <c r="A20" s="16"/>
      <c r="B20" s="1"/>
      <c r="C20" s="1"/>
      <c r="D20" s="1"/>
      <c r="E20" s="34"/>
      <c r="F20" s="30" t="e">
        <f>4번!$G$6*4번!$G$8/4번!$G$12*4/60</f>
        <v>#DIV/0!</v>
      </c>
      <c r="G20" s="30" t="e">
        <f>4번!$G$6*4번!$G$8/4번!$G$12*4/60*3</f>
        <v>#DIV/0!</v>
      </c>
      <c r="H20" s="30" t="e">
        <f>4번!$G$6/60*4번!$G$8/4번!$G$12*3</f>
        <v>#DIV/0!</v>
      </c>
      <c r="I20" s="40" t="e">
        <f>4번!$G$6*4번!$G$8/4번!$G$12*4/60+($H$18*3)</f>
        <v>#DIV/0!</v>
      </c>
      <c r="J20" s="44" t="e">
        <f>4번!$G$6*4번!$G$8/4번!$G$12*4/60*2+($H$18*3)</f>
        <v>#DIV/0!</v>
      </c>
      <c r="K20" s="30" t="e">
        <f>4번!$G$6/60*4번!$G$8/4번!$G$12*3</f>
        <v>#DIV/0!</v>
      </c>
      <c r="L20" s="23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4.25">
      <c r="A21" s="16"/>
      <c r="B21" s="1"/>
      <c r="C21" s="1"/>
      <c r="D21" s="1"/>
      <c r="E21" s="34"/>
      <c r="F21" s="28"/>
      <c r="G21" s="28"/>
      <c r="H21" s="28"/>
      <c r="I21" s="41"/>
      <c r="J21" s="70"/>
      <c r="K21" s="28"/>
      <c r="L21" s="23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4.25">
      <c r="A22" s="16"/>
      <c r="B22" s="1"/>
      <c r="C22" s="1"/>
      <c r="D22" s="1"/>
      <c r="E22" s="69" t="s">
        <v>64</v>
      </c>
      <c r="F22" s="29" t="e">
        <f>4번!$G$6*4번!$G$8/4번!$J$12*4/60/3</f>
        <v>#DIV/0!</v>
      </c>
      <c r="G22" s="29" t="e">
        <f>4번!$G$6*4번!$G$8/4번!$J$12*4/60</f>
        <v>#DIV/0!</v>
      </c>
      <c r="H22" s="29" t="e">
        <f>4번!$G$6/60*4번!$G$8/4번!$J$12</f>
        <v>#DIV/0!</v>
      </c>
      <c r="I22" s="39" t="e">
        <f>4번!$G$6*4번!$G$8/4번!$J$12*4/60+$H$22</f>
        <v>#DIV/0!</v>
      </c>
      <c r="J22" s="43" t="e">
        <f>4번!$G$6*4번!$G$8/4번!$J$12*4/60*2+$H$22</f>
        <v>#DIV/0!</v>
      </c>
      <c r="K22" s="29" t="e">
        <f>4번!$G$6/60*4번!$G$8/4번!$J$12</f>
        <v>#DIV/0!</v>
      </c>
      <c r="L22" s="24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4.25">
      <c r="A23" s="16"/>
      <c r="B23" s="1"/>
      <c r="C23" s="1"/>
      <c r="D23" s="1"/>
      <c r="E23" s="34"/>
      <c r="F23" s="30" t="e">
        <f>4번!$G$6*4번!$G$8/4번!$J$12*4/60/2</f>
        <v>#DIV/0!</v>
      </c>
      <c r="G23" s="30" t="e">
        <f>4번!$G$6*4번!$G$8/4번!$J$12*4/60*2</f>
        <v>#DIV/0!</v>
      </c>
      <c r="H23" s="30" t="e">
        <f>4번!$G$6/60*4번!$G$8/4번!$J$12*2</f>
        <v>#DIV/0!</v>
      </c>
      <c r="I23" s="40" t="e">
        <f>4번!$G$6*4번!$G$8/4번!$J$12*4/60+($H$22*2)</f>
        <v>#DIV/0!</v>
      </c>
      <c r="J23" s="44" t="e">
        <f>4번!$G$6*4번!$G$8/4번!$J$12*4/60*2+($H$22*2)</f>
        <v>#DIV/0!</v>
      </c>
      <c r="K23" s="30" t="e">
        <f>4번!$G$6/60*4번!$G$8/4번!$J$12*2</f>
        <v>#DIV/0!</v>
      </c>
      <c r="L23" s="23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4.25">
      <c r="A24" s="16"/>
      <c r="B24" s="1"/>
      <c r="C24" s="1"/>
      <c r="D24" s="1"/>
      <c r="E24" s="34"/>
      <c r="F24" s="30" t="e">
        <f>4번!$G$6*4번!$G$8/4번!$J$12*4/60</f>
        <v>#DIV/0!</v>
      </c>
      <c r="G24" s="30" t="e">
        <f>4번!$G$6*4번!$G$8/4번!$J$12*4/60*3</f>
        <v>#DIV/0!</v>
      </c>
      <c r="H24" s="30" t="e">
        <f>4번!$G$6/60*4번!$G$8/4번!$J$12*3</f>
        <v>#DIV/0!</v>
      </c>
      <c r="I24" s="40" t="e">
        <f>4번!$G$6*4번!$G$8/4번!$J$12*4/60+($H$22*3)</f>
        <v>#DIV/0!</v>
      </c>
      <c r="J24" s="44" t="e">
        <f>4번!$G$6*4번!$G$8/4번!$J$12*4/60*2+($H$22*3)</f>
        <v>#DIV/0!</v>
      </c>
      <c r="K24" s="30" t="e">
        <f>4번!$G$6/60*4번!$G$8/4번!$J$12*3</f>
        <v>#DIV/0!</v>
      </c>
      <c r="L24" s="23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4.25">
      <c r="A25" s="16"/>
      <c r="B25" s="1"/>
      <c r="C25" s="1"/>
      <c r="D25" s="1"/>
      <c r="E25" s="36"/>
      <c r="F25" s="28"/>
      <c r="G25" s="28"/>
      <c r="H25" s="28"/>
      <c r="I25" s="41"/>
      <c r="J25" s="70"/>
      <c r="K25" s="28"/>
      <c r="L25" s="22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4.25">
      <c r="A26" s="16"/>
      <c r="B26" s="1"/>
      <c r="C26" s="1"/>
      <c r="D26" s="1"/>
      <c r="E26" s="48"/>
      <c r="F26" s="27"/>
      <c r="G26" s="27"/>
      <c r="H26" s="27"/>
      <c r="I26" s="27"/>
      <c r="J26" s="27"/>
      <c r="K26" s="27"/>
      <c r="L26" s="48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4.25">
      <c r="A27" s="16"/>
      <c r="B27" s="1"/>
      <c r="C27" s="1"/>
      <c r="D27" s="1"/>
      <c r="E27" s="48"/>
      <c r="F27" s="27"/>
      <c r="G27" s="27"/>
      <c r="H27" s="27"/>
      <c r="I27" s="27"/>
      <c r="J27" s="49"/>
      <c r="K27" s="27"/>
      <c r="L27" s="48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4.25">
      <c r="A28" s="1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4.25">
      <c r="A29" s="1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4.25">
      <c r="A30" s="16"/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4.25">
      <c r="A31" s="16"/>
      <c r="B31" s="16"/>
      <c r="C31" s="16"/>
      <c r="D31" s="16"/>
      <c r="E31" s="1"/>
      <c r="F31" s="1"/>
      <c r="G31" s="1"/>
      <c r="H31" s="1"/>
      <c r="I31" s="1"/>
      <c r="J31" s="1"/>
      <c r="K31" s="1"/>
      <c r="L31" s="1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4.25">
      <c r="A32" s="16"/>
      <c r="B32" s="16"/>
      <c r="C32" s="16"/>
      <c r="D32" s="16"/>
      <c r="E32" s="1"/>
      <c r="F32" s="1"/>
      <c r="G32" s="1"/>
      <c r="H32" s="1"/>
      <c r="I32" s="1"/>
      <c r="J32" s="1"/>
      <c r="K32" s="1"/>
      <c r="L32" s="1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4.25">
      <c r="A33" s="16"/>
      <c r="B33" s="16"/>
      <c r="C33" s="16"/>
      <c r="D33" s="16"/>
      <c r="E33" s="1"/>
      <c r="F33" s="1"/>
      <c r="G33" s="1"/>
      <c r="H33" s="1"/>
      <c r="I33" s="1"/>
      <c r="J33" s="1"/>
      <c r="K33" s="1"/>
      <c r="L33" s="1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4.25">
      <c r="A34" s="16"/>
      <c r="B34" s="16"/>
      <c r="C34" s="16"/>
      <c r="D34" s="16"/>
      <c r="E34" s="1"/>
      <c r="F34" s="1"/>
      <c r="G34" s="1"/>
      <c r="H34" s="1"/>
      <c r="I34" s="1"/>
      <c r="J34" s="1"/>
      <c r="K34" s="1"/>
      <c r="L34" s="1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4.25">
      <c r="A35" s="16"/>
      <c r="B35" s="16"/>
      <c r="C35" s="16"/>
      <c r="D35" s="16"/>
      <c r="E35" s="1"/>
      <c r="F35" s="1"/>
      <c r="G35" s="1"/>
      <c r="H35" s="1"/>
      <c r="I35" s="1"/>
      <c r="J35" s="1"/>
      <c r="K35" s="1"/>
      <c r="L35" s="1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4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4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4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4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4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4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4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4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4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4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4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4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4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4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4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4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4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4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4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4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4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4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4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4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4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4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4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4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4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4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4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4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4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4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4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4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4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4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4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4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4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4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4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4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4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4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4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4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4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4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4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4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4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4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4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4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4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4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4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4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4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4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4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4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 쪽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99"/>
  <sheetViews>
    <sheetView showGridLines="0" showRowColHeaders="0" zoomScalePageLayoutView="0" workbookViewId="0" topLeftCell="A1">
      <selection activeCell="C23" sqref="C23"/>
    </sheetView>
  </sheetViews>
  <sheetFormatPr defaultColWidth="9.00390625" defaultRowHeight="14.25"/>
  <cols>
    <col min="1" max="1" width="4.50390625" style="15" customWidth="1"/>
    <col min="2" max="2" width="20.125" style="15" customWidth="1"/>
    <col min="3" max="3" width="9.00390625" style="15" customWidth="1"/>
    <col min="4" max="4" width="4.50390625" style="15" customWidth="1"/>
    <col min="5" max="5" width="20.125" style="15" customWidth="1"/>
    <col min="6" max="6" width="9.50390625" style="15" customWidth="1"/>
    <col min="7" max="7" width="4.875" style="15" customWidth="1"/>
    <col min="8" max="8" width="20.125" style="15" customWidth="1"/>
    <col min="9" max="9" width="9.75390625" style="15" customWidth="1"/>
    <col min="10" max="10" width="7.625" style="15" customWidth="1"/>
    <col min="11" max="16384" width="9.00390625" style="15" customWidth="1"/>
  </cols>
  <sheetData>
    <row r="1" spans="1:7" ht="23.25" customHeight="1">
      <c r="A1" s="51" t="s">
        <v>65</v>
      </c>
      <c r="B1" s="14"/>
      <c r="C1" s="14"/>
      <c r="D1" s="14"/>
      <c r="E1" s="14"/>
      <c r="F1" s="14"/>
      <c r="G1" s="14"/>
    </row>
    <row r="2" spans="1:26" ht="14.25">
      <c r="A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4.25">
      <c r="A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4.25">
      <c r="A4" s="1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4.25">
      <c r="A5" s="48"/>
      <c r="B5" s="77" t="s">
        <v>66</v>
      </c>
      <c r="C5" s="78"/>
      <c r="D5" s="1"/>
      <c r="E5" s="79" t="s">
        <v>67</v>
      </c>
      <c r="F5" s="80"/>
      <c r="G5" s="1"/>
      <c r="H5" s="79" t="s">
        <v>68</v>
      </c>
      <c r="I5" s="80"/>
      <c r="J5" s="1"/>
      <c r="K5" s="1"/>
      <c r="L5" s="1"/>
      <c r="M5" s="1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4.25">
      <c r="A6" s="16"/>
      <c r="B6"/>
      <c r="C6" s="1"/>
      <c r="D6" s="1"/>
      <c r="E6" s="16"/>
      <c r="F6" s="16"/>
      <c r="G6" s="1"/>
      <c r="H6" s="16"/>
      <c r="I6" s="16"/>
      <c r="J6" s="1"/>
      <c r="K6" s="1"/>
      <c r="L6" s="1"/>
      <c r="M6" s="1"/>
      <c r="N6" s="1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4.25">
      <c r="A7" s="16"/>
      <c r="B7" s="87" t="s">
        <v>43</v>
      </c>
      <c r="C7"/>
      <c r="D7" s="1"/>
      <c r="E7" s="87" t="s">
        <v>43</v>
      </c>
      <c r="F7" s="16"/>
      <c r="G7" s="1"/>
      <c r="H7" s="87" t="s">
        <v>43</v>
      </c>
      <c r="I7" s="16"/>
      <c r="J7" s="1"/>
      <c r="K7" s="1"/>
      <c r="L7" s="1"/>
      <c r="M7" s="1"/>
      <c r="N7" s="1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4.25">
      <c r="A8" s="16"/>
      <c r="B8" s="85" t="s">
        <v>69</v>
      </c>
      <c r="C8" s="82">
        <f>5번!$H$8/60</f>
        <v>0</v>
      </c>
      <c r="D8" s="1"/>
      <c r="E8" s="18" t="s">
        <v>70</v>
      </c>
      <c r="F8" s="82">
        <f>5번!$K$8/60</f>
        <v>0</v>
      </c>
      <c r="G8" s="1"/>
      <c r="H8" s="76" t="s">
        <v>71</v>
      </c>
      <c r="I8" s="82" t="e">
        <f>$C$11+$F$11</f>
        <v>#DIV/0!</v>
      </c>
      <c r="J8" s="1"/>
      <c r="K8" s="1"/>
      <c r="L8" s="1"/>
      <c r="M8" s="1"/>
      <c r="N8" s="1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4.25">
      <c r="A9" s="16"/>
      <c r="B9" s="18" t="s">
        <v>72</v>
      </c>
      <c r="C9" s="82">
        <f>5번!$H$8/60</f>
        <v>0</v>
      </c>
      <c r="D9" s="1"/>
      <c r="E9" s="76" t="s">
        <v>73</v>
      </c>
      <c r="F9" s="84" t="s">
        <v>74</v>
      </c>
      <c r="G9" s="1"/>
      <c r="H9" s="76" t="s">
        <v>73</v>
      </c>
      <c r="I9" s="82">
        <f>5번!$H$8/60</f>
        <v>0</v>
      </c>
      <c r="J9" s="1"/>
      <c r="K9" s="1"/>
      <c r="L9" s="1"/>
      <c r="M9" s="1"/>
      <c r="N9" s="1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4.25">
      <c r="A10" s="16"/>
      <c r="B10" s="18" t="s">
        <v>75</v>
      </c>
      <c r="C10" s="82" t="s">
        <v>74</v>
      </c>
      <c r="D10" s="1"/>
      <c r="E10" s="85" t="s">
        <v>76</v>
      </c>
      <c r="F10" s="82" t="e">
        <f>$F$8*5번!$K$10/5번!$H$24</f>
        <v>#DIV/0!</v>
      </c>
      <c r="G10" s="1"/>
      <c r="H10" s="85" t="s">
        <v>76</v>
      </c>
      <c r="I10" s="82" t="e">
        <f>$F$8*5번!$K$10/5번!$H$24</f>
        <v>#DIV/0!</v>
      </c>
      <c r="J10" s="1"/>
      <c r="K10" s="1"/>
      <c r="L10" s="1"/>
      <c r="M10" s="1"/>
      <c r="N10" s="1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4.25">
      <c r="A11" s="16"/>
      <c r="B11" s="18" t="s">
        <v>77</v>
      </c>
      <c r="C11" s="86" t="e">
        <f>5번!$H$8/60*5번!$H$10/5번!$H$14*(1/(5번!$H$22/5번!$H$16+1))</f>
        <v>#DIV/0!</v>
      </c>
      <c r="D11" s="1"/>
      <c r="E11" s="76" t="s">
        <v>77</v>
      </c>
      <c r="F11" s="88" t="e">
        <f>$F$8*5번!$K$10/5번!$H$24*((5번!$H$22/5번!$H$16)/(1+5번!$H$22/5번!$H$16))</f>
        <v>#DIV/0!</v>
      </c>
      <c r="G11" s="1"/>
      <c r="H11" s="16"/>
      <c r="I11" s="16"/>
      <c r="J11" s="1"/>
      <c r="K11" s="1"/>
      <c r="L11" s="1"/>
      <c r="M11" s="1"/>
      <c r="N11" s="1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4.25">
      <c r="A12" s="16"/>
      <c r="B12" s="85" t="s">
        <v>78</v>
      </c>
      <c r="C12" s="83" t="e">
        <f>5번!$H$26/5번!$H$28*분석5!$C$11</f>
        <v>#DIV/0!</v>
      </c>
      <c r="D12" s="16"/>
      <c r="E12" s="76"/>
      <c r="F12" s="82"/>
      <c r="G12" s="1"/>
      <c r="H12" s="16"/>
      <c r="I12" s="16"/>
      <c r="J12" s="1"/>
      <c r="K12" s="1"/>
      <c r="L12" s="1"/>
      <c r="M12" s="1"/>
      <c r="N12" s="1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4.25">
      <c r="A13" s="16"/>
      <c r="B13" s="1"/>
      <c r="C13" s="1"/>
      <c r="D13" s="16"/>
      <c r="E13" s="16"/>
      <c r="F13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4.25">
      <c r="A14" s="16"/>
      <c r="B14" s="87" t="s">
        <v>79</v>
      </c>
      <c r="C14" s="1"/>
      <c r="D14" s="16"/>
      <c r="E14" s="87" t="s">
        <v>79</v>
      </c>
      <c r="F14" s="89"/>
      <c r="G14" s="16"/>
      <c r="H14" s="87" t="s">
        <v>80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4.25">
      <c r="A15" s="16"/>
      <c r="B15" s="18" t="s">
        <v>81</v>
      </c>
      <c r="C15" s="83">
        <f>5번!$H$8/60*5번!$H$10</f>
        <v>0</v>
      </c>
      <c r="D15" s="16"/>
      <c r="E15" s="18" t="s">
        <v>82</v>
      </c>
      <c r="F15" s="26">
        <f>$F$8*5번!$K$10</f>
        <v>0</v>
      </c>
      <c r="G15" s="16"/>
      <c r="H15" s="76" t="s">
        <v>83</v>
      </c>
      <c r="I15" s="82" t="e">
        <f>$C$19+$F$17</f>
        <v>#DIV/0!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4.25">
      <c r="A16" s="16"/>
      <c r="B16" s="18" t="s">
        <v>84</v>
      </c>
      <c r="C16" s="83" t="e">
        <f>5번!$H$8/60*5번!$H$10*5번!$H$10/5번!$H$10</f>
        <v>#DIV/0!</v>
      </c>
      <c r="D16" s="16"/>
      <c r="E16" s="18" t="s">
        <v>85</v>
      </c>
      <c r="F16" s="26" t="e">
        <f>$F$10*5번!$H$22</f>
        <v>#DIV/0!</v>
      </c>
      <c r="G16" s="16"/>
      <c r="H16" s="76"/>
      <c r="I16" s="82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4.25">
      <c r="A17" s="16"/>
      <c r="B17" s="18" t="s">
        <v>86</v>
      </c>
      <c r="C17" s="83">
        <f>$C$8*5번!$H$16</f>
        <v>0</v>
      </c>
      <c r="D17" s="16"/>
      <c r="E17" s="85" t="s">
        <v>87</v>
      </c>
      <c r="F17" s="26" t="e">
        <f>$F$11*5번!$H$16</f>
        <v>#DIV/0!</v>
      </c>
      <c r="G17" s="16"/>
      <c r="H17" s="16"/>
      <c r="I17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4.25">
      <c r="A18" s="16"/>
      <c r="B18" s="18" t="s">
        <v>88</v>
      </c>
      <c r="C18" s="88" t="e">
        <f>$C$11*5번!$H$22</f>
        <v>#DIV/0!</v>
      </c>
      <c r="D18" s="16"/>
      <c r="E18" s="18"/>
      <c r="F18" s="2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4.25">
      <c r="A19" s="16"/>
      <c r="B19" s="76" t="s">
        <v>89</v>
      </c>
      <c r="C19" s="83" t="e">
        <f>5번!$H$8/60*5번!$H$10/5번!$H$14*(1/(5번!$H$22/5번!$H$16+1))*5번!$H$26</f>
        <v>#DIV/0!</v>
      </c>
      <c r="D19" s="1"/>
      <c r="E19" s="18"/>
      <c r="F19" s="2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4.25">
      <c r="A20" s="16"/>
      <c r="B20" s="1"/>
      <c r="C20"/>
      <c r="D20" s="1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4.25">
      <c r="A21" s="16"/>
      <c r="B21" s="1"/>
      <c r="C21" s="1"/>
      <c r="D21" s="1"/>
      <c r="E21" s="16"/>
      <c r="F21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4.25">
      <c r="A22" s="16"/>
      <c r="B22" s="1"/>
      <c r="C22" s="1"/>
      <c r="D22" s="1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4.25">
      <c r="A23" s="16"/>
      <c r="B23" s="1"/>
      <c r="C23" s="1"/>
      <c r="D23" s="1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4.25">
      <c r="A24" s="16"/>
      <c r="B24" s="1"/>
      <c r="C24" s="1"/>
      <c r="D24" s="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4.25">
      <c r="A25" s="16"/>
      <c r="B25" s="1"/>
      <c r="C25" s="1"/>
      <c r="D25" s="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4.25">
      <c r="A26" s="16"/>
      <c r="B26" s="1"/>
      <c r="C26" s="1"/>
      <c r="D26" s="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4.25">
      <c r="A27" s="16"/>
      <c r="B27" s="1"/>
      <c r="C27" s="1"/>
      <c r="D27" s="1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4.25">
      <c r="A28" s="16"/>
      <c r="B28" s="1"/>
      <c r="C28" s="1"/>
      <c r="D28" s="1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4.25">
      <c r="A29" s="16"/>
      <c r="B29" s="1"/>
      <c r="C29" s="1"/>
      <c r="D29" s="1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4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4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4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4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4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4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4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4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4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4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4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4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4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4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4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4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4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4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4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4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4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4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4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4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4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4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4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4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4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4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4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4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4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4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4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4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4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4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4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4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4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4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4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4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4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4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4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4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4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4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4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4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4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4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4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4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4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4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4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4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4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4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4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4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4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4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4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4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4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</sheetData>
  <sheetProtection/>
  <printOptions/>
  <pageMargins left="0.75" right="0.75" top="1" bottom="1" header="0.5" footer="0.5"/>
  <pageSetup horizontalDpi="1200" verticalDpi="1200" orientation="portrait" paperSize="9" r:id="rId3"/>
  <headerFooter alignWithMargins="0">
    <oddHeader>&amp;C&amp;A</oddHeader>
    <oddFooter>&amp;C&amp;P 쪽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RowColHeaders="0" zoomScale="75" zoomScaleNormal="75" zoomScalePageLayoutView="0" workbookViewId="0" topLeftCell="A1">
      <selection activeCell="N46" sqref="N46"/>
    </sheetView>
  </sheetViews>
  <sheetFormatPr defaultColWidth="9.00390625" defaultRowHeight="14.25"/>
  <sheetData>
    <row r="1" spans="1:14" ht="7.5" customHeight="1">
      <c r="A1" s="52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5.25" customHeight="1">
      <c r="A2" s="5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7" customFormat="1" ht="9" customHeight="1">
      <c r="A3" s="52"/>
    </row>
    <row r="4" spans="1:14" ht="14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4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4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4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5.75" customHeight="1">
      <c r="A8" s="52"/>
      <c r="B8" s="52"/>
      <c r="C8" s="52"/>
      <c r="D8" s="52"/>
      <c r="E8" s="52"/>
      <c r="F8" s="52"/>
      <c r="G8" s="7"/>
      <c r="H8" s="7"/>
      <c r="I8" s="7"/>
      <c r="J8" s="7"/>
      <c r="K8" s="7"/>
      <c r="L8" s="7"/>
      <c r="M8" s="7"/>
      <c r="N8" s="7"/>
    </row>
    <row r="9" spans="1:14" ht="14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ht="14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ht="14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9.75" customHeight="1">
      <c r="A12" s="52"/>
      <c r="B12" s="52"/>
      <c r="C12" s="52"/>
      <c r="D12" s="52"/>
      <c r="E12" s="52"/>
      <c r="F12" s="52"/>
      <c r="G12" s="52"/>
      <c r="H12" s="7"/>
      <c r="I12" s="7"/>
      <c r="J12" s="7"/>
      <c r="K12" s="7"/>
      <c r="L12" s="7"/>
      <c r="M12" s="7"/>
      <c r="N12" s="7"/>
    </row>
    <row r="13" spans="1:14" ht="14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4" ht="14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4" ht="14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8.25" customHeight="1">
      <c r="A16" s="52"/>
      <c r="B16" s="52"/>
      <c r="C16" s="52"/>
      <c r="D16" s="52"/>
      <c r="E16" s="52"/>
      <c r="F16" s="52"/>
      <c r="G16" s="52"/>
      <c r="H16" s="52"/>
      <c r="I16" s="7"/>
      <c r="J16" s="7"/>
      <c r="K16" s="7"/>
      <c r="L16" s="7"/>
      <c r="M16" s="7"/>
      <c r="N16" s="7"/>
    </row>
    <row r="17" spans="1:14" ht="14.2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ht="14.2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4" ht="14.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4" ht="6.75" customHeight="1">
      <c r="A20" s="52"/>
      <c r="B20" s="52"/>
      <c r="C20" s="52"/>
      <c r="D20" s="52"/>
      <c r="E20" s="52"/>
      <c r="F20" s="52"/>
      <c r="G20" s="52"/>
      <c r="H20" s="52"/>
      <c r="I20" s="52"/>
      <c r="J20" s="7"/>
      <c r="K20" s="7"/>
      <c r="L20" s="7"/>
      <c r="M20" s="7"/>
      <c r="N20" s="7"/>
    </row>
    <row r="21" spans="1:14" ht="14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4" ht="14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14" ht="14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ht="5.2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7"/>
      <c r="L24" s="7"/>
      <c r="M24" s="7"/>
      <c r="N24" s="7"/>
    </row>
    <row r="25" spans="1:14" ht="14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4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ht="14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3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7"/>
      <c r="M28" s="7"/>
      <c r="N28" s="7"/>
    </row>
    <row r="29" spans="1:14" ht="14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ht="14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ht="3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ht="14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2.2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14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1:14" ht="14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4" ht="14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</sheetData>
  <sheetProtection/>
  <printOptions/>
  <pageMargins left="0.75" right="0.75" top="1" bottom="1" header="0.5" footer="0.5"/>
  <pageSetup horizontalDpi="300" verticalDpi="300" orientation="portrait" paperSize="9" r:id="rId5"/>
  <headerFooter alignWithMargins="0">
    <oddHeader>&amp;C&amp;A</oddHeader>
    <oddFooter>&amp;C&amp;P 쪽</oddFooter>
  </headerFooter>
  <drawing r:id="rId4"/>
  <legacyDrawing r:id="rId3"/>
  <oleObjects>
    <oleObject progId="PBrush" shapeId="1028367" r:id="rId1"/>
    <oleObject progId="PBrush" shapeId="105370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L28"/>
  <sheetViews>
    <sheetView showFormulas="1" showGridLines="0" showRowColHeaders="0" zoomScalePageLayoutView="0" workbookViewId="0" topLeftCell="A1">
      <selection activeCell="C27" sqref="C27"/>
    </sheetView>
  </sheetViews>
  <sheetFormatPr defaultColWidth="9.00390625" defaultRowHeight="14.25"/>
  <cols>
    <col min="1" max="1" width="11.00390625" style="1" customWidth="1"/>
    <col min="2" max="2" width="5.625" style="1" customWidth="1"/>
    <col min="3" max="3" width="5.375" style="1" customWidth="1"/>
    <col min="4" max="4" width="5.125" style="1" customWidth="1"/>
    <col min="5" max="5" width="4.375" style="1" customWidth="1"/>
    <col min="6" max="6" width="4.50390625" style="1" customWidth="1"/>
    <col min="7" max="7" width="5.25390625" style="1" customWidth="1"/>
    <col min="8" max="8" width="4.75390625" style="1" customWidth="1"/>
    <col min="9" max="9" width="5.625" style="1" customWidth="1"/>
    <col min="10" max="10" width="4.50390625" style="1" customWidth="1"/>
    <col min="11" max="11" width="3.50390625" style="1" customWidth="1"/>
    <col min="12" max="12" width="4.125" style="1" customWidth="1"/>
    <col min="13" max="13" width="5.00390625" style="1" customWidth="1"/>
    <col min="14" max="14" width="5.375" style="1" customWidth="1"/>
    <col min="15" max="15" width="3.125" style="1" customWidth="1"/>
    <col min="16" max="16" width="3.375" style="1" customWidth="1"/>
    <col min="17" max="17" width="4.25390625" style="1" customWidth="1"/>
    <col min="18" max="18" width="4.00390625" style="1" customWidth="1"/>
    <col min="19" max="16384" width="9.00390625" style="1" customWidth="1"/>
  </cols>
  <sheetData>
    <row r="1" ht="18" customHeight="1"/>
    <row r="2" spans="1:12" ht="22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ht="21" customHeight="1"/>
    <row r="5" ht="4.5" customHeight="1"/>
    <row r="6" ht="5.25" customHeight="1"/>
    <row r="7" spans="1:12" ht="6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8" spans="1:12" ht="5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</sheetData>
  <sheetProtection/>
  <printOptions/>
  <pageMargins left="0.75" right="0.75" top="1" bottom="1" header="0.5" footer="0.5"/>
  <pageSetup horizontalDpi="300" verticalDpi="300" orientation="portrait" paperSize="9" r:id="rId11"/>
  <headerFooter alignWithMargins="0">
    <oddHeader>&amp;C&amp;A</oddHeader>
    <oddFooter>&amp;C&amp;P 쪽</oddFooter>
  </headerFooter>
  <drawing r:id="rId10"/>
  <legacyDrawing r:id="rId9"/>
  <oleObjects>
    <oleObject progId="PBrush" shapeId="4927483" r:id="rId1"/>
    <oleObject progId="PBrush" shapeId="4940290" r:id="rId2"/>
    <oleObject progId="PBrush" shapeId="4948471" r:id="rId3"/>
    <oleObject progId="PBrush" shapeId="4956335" r:id="rId4"/>
    <oleObject progId="PBrush" shapeId="4960324" r:id="rId5"/>
    <oleObject progId="PBrush" shapeId="4965113" r:id="rId6"/>
    <oleObject progId="PBrush" shapeId="4974869" r:id="rId7"/>
    <oleObject progId="PBrush" shapeId="4988748" r:id="rId8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RowColHeaders="0" tabSelected="1" zoomScale="75" zoomScaleNormal="75" zoomScalePageLayoutView="0" workbookViewId="0" topLeftCell="A1">
      <selection activeCell="I8" sqref="I8"/>
    </sheetView>
  </sheetViews>
  <sheetFormatPr defaultColWidth="9.00390625" defaultRowHeight="14.25"/>
  <cols>
    <col min="1" max="1" width="12.75390625" style="0" customWidth="1"/>
    <col min="8" max="8" width="20.625" style="0" customWidth="1"/>
    <col min="9" max="9" width="11.875" style="0" customWidth="1"/>
    <col min="11" max="11" width="11.375" style="0" customWidth="1"/>
    <col min="13" max="13" width="8.875" style="0" customWidth="1"/>
  </cols>
  <sheetData>
    <row r="1" spans="1:14" ht="14.25">
      <c r="A1" s="8"/>
      <c r="B1" s="8"/>
      <c r="C1" s="8"/>
      <c r="D1" s="8"/>
      <c r="E1" s="8"/>
      <c r="F1" s="8"/>
      <c r="G1" s="8"/>
      <c r="H1" s="8"/>
      <c r="I1" s="8"/>
      <c r="J1" s="8"/>
      <c r="K1" s="12"/>
      <c r="L1" s="8"/>
      <c r="M1" s="8"/>
      <c r="N1" s="8"/>
    </row>
    <row r="2" spans="1:14" ht="14.25">
      <c r="A2" s="8"/>
      <c r="B2" s="8"/>
      <c r="C2" s="8"/>
      <c r="D2" s="8"/>
      <c r="E2" s="8"/>
      <c r="F2" s="8"/>
      <c r="G2" s="8"/>
      <c r="H2" s="8"/>
      <c r="I2" s="8"/>
      <c r="J2" s="8"/>
      <c r="K2" s="12"/>
      <c r="L2" s="8"/>
      <c r="M2" s="8"/>
      <c r="N2" s="8"/>
    </row>
    <row r="3" spans="1:14" ht="14.25">
      <c r="A3" s="8"/>
      <c r="B3" s="8"/>
      <c r="C3" s="8"/>
      <c r="D3" s="8"/>
      <c r="E3" s="8"/>
      <c r="F3" s="8"/>
      <c r="G3" s="8"/>
      <c r="H3" s="8"/>
      <c r="I3" s="8"/>
      <c r="J3" s="8"/>
      <c r="K3" s="12"/>
      <c r="L3" s="8"/>
      <c r="M3" s="8"/>
      <c r="N3" s="8"/>
    </row>
    <row r="4" spans="1:14" ht="14.25">
      <c r="A4" s="8"/>
      <c r="B4" s="8"/>
      <c r="C4" s="8"/>
      <c r="D4" s="8"/>
      <c r="E4" s="8"/>
      <c r="F4" s="8"/>
      <c r="G4" s="8"/>
      <c r="H4" s="8"/>
      <c r="I4" s="8"/>
      <c r="J4" s="8"/>
      <c r="K4" s="12"/>
      <c r="L4" s="8"/>
      <c r="M4" s="8"/>
      <c r="N4" s="8"/>
    </row>
    <row r="5" spans="1:14" ht="14.25">
      <c r="A5" s="8"/>
      <c r="B5" s="8"/>
      <c r="C5" s="8"/>
      <c r="D5" s="8"/>
      <c r="E5" s="8"/>
      <c r="F5" s="8"/>
      <c r="G5" s="8"/>
      <c r="H5" s="8"/>
      <c r="I5" s="8"/>
      <c r="J5" s="8"/>
      <c r="K5" s="12"/>
      <c r="L5" s="8"/>
      <c r="M5" s="8"/>
      <c r="N5" s="8"/>
    </row>
    <row r="6" spans="1:14" ht="14.25">
      <c r="A6" s="8"/>
      <c r="B6" s="8"/>
      <c r="C6" s="8"/>
      <c r="D6" s="8"/>
      <c r="E6" s="8"/>
      <c r="F6" s="8"/>
      <c r="G6" s="8"/>
      <c r="H6" s="8"/>
      <c r="I6" s="8"/>
      <c r="J6" s="8"/>
      <c r="K6" s="12"/>
      <c r="L6" s="8"/>
      <c r="M6" s="8"/>
      <c r="N6" s="8"/>
    </row>
    <row r="7" spans="1:14" ht="14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12"/>
      <c r="L7" s="8"/>
      <c r="M7" s="8"/>
      <c r="N7" s="8"/>
    </row>
    <row r="8" spans="1:14" ht="26.25" customHeight="1">
      <c r="A8" s="8"/>
      <c r="B8" s="8"/>
      <c r="C8" s="8"/>
      <c r="D8" s="8"/>
      <c r="E8" s="8"/>
      <c r="F8" s="8"/>
      <c r="G8" s="8"/>
      <c r="H8" s="9" t="s">
        <v>4</v>
      </c>
      <c r="I8" s="11"/>
      <c r="J8" s="8"/>
      <c r="K8" s="12"/>
      <c r="L8" s="8"/>
      <c r="M8" s="8"/>
      <c r="N8" s="8"/>
    </row>
    <row r="9" spans="1:14" ht="5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2"/>
      <c r="L9" s="8"/>
      <c r="M9" s="8"/>
      <c r="N9" s="8"/>
    </row>
    <row r="10" spans="1:14" ht="24.75" customHeight="1">
      <c r="A10" s="8"/>
      <c r="B10" s="8"/>
      <c r="C10" s="8"/>
      <c r="D10" s="8"/>
      <c r="E10" s="8"/>
      <c r="F10" s="8"/>
      <c r="G10" s="8"/>
      <c r="H10" s="10" t="s">
        <v>5</v>
      </c>
      <c r="I10" s="11"/>
      <c r="J10" s="8"/>
      <c r="K10" s="12"/>
      <c r="L10" s="8"/>
      <c r="M10" s="8"/>
      <c r="N10" s="8"/>
    </row>
    <row r="11" spans="1:14" ht="6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2"/>
      <c r="L11" s="8"/>
      <c r="M11" s="8"/>
      <c r="N11" s="8"/>
    </row>
    <row r="12" spans="1:14" ht="24" customHeight="1">
      <c r="A12" s="8"/>
      <c r="B12" s="8"/>
      <c r="C12" s="8"/>
      <c r="D12" s="8"/>
      <c r="E12" s="8"/>
      <c r="F12" s="8"/>
      <c r="G12" s="8"/>
      <c r="H12" s="10" t="s">
        <v>6</v>
      </c>
      <c r="I12" s="11"/>
      <c r="J12" s="8"/>
      <c r="K12" s="12"/>
      <c r="L12" s="8"/>
      <c r="M12" s="8"/>
      <c r="N12" s="8"/>
    </row>
    <row r="13" spans="1:14" ht="6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12"/>
      <c r="L13" s="8"/>
      <c r="M13" s="8"/>
      <c r="N13" s="8"/>
    </row>
    <row r="14" spans="1:14" ht="23.25" customHeight="1">
      <c r="A14" s="8"/>
      <c r="B14" s="8"/>
      <c r="C14" s="8"/>
      <c r="D14" s="8"/>
      <c r="E14" s="8"/>
      <c r="F14" s="8"/>
      <c r="G14" s="8"/>
      <c r="H14" s="10" t="s">
        <v>7</v>
      </c>
      <c r="I14" s="11"/>
      <c r="J14" s="8"/>
      <c r="K14" s="12"/>
      <c r="L14" s="8"/>
      <c r="M14" s="8"/>
      <c r="N14" s="8"/>
    </row>
    <row r="15" spans="1:14" ht="6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12"/>
      <c r="L15" s="8"/>
      <c r="M15" s="8"/>
      <c r="N15" s="8"/>
    </row>
    <row r="16" spans="1:14" ht="23.25" customHeight="1">
      <c r="A16" s="8"/>
      <c r="B16" s="8"/>
      <c r="C16" s="8"/>
      <c r="D16" s="8"/>
      <c r="E16" s="8"/>
      <c r="F16" s="8"/>
      <c r="G16" s="8"/>
      <c r="H16" s="10" t="s">
        <v>8</v>
      </c>
      <c r="I16" s="11"/>
      <c r="J16" s="8"/>
      <c r="K16" s="12"/>
      <c r="L16" s="8"/>
      <c r="M16" s="8"/>
      <c r="N16" s="8"/>
    </row>
    <row r="17" spans="1:14" ht="6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12"/>
      <c r="L17" s="8"/>
      <c r="M17" s="8"/>
      <c r="N17" s="8"/>
    </row>
    <row r="18" spans="1:14" ht="25.5" customHeight="1">
      <c r="A18" s="8"/>
      <c r="B18" s="8"/>
      <c r="C18" s="8"/>
      <c r="D18" s="8"/>
      <c r="E18" s="8"/>
      <c r="F18" s="8"/>
      <c r="G18" s="8"/>
      <c r="H18" s="10" t="s">
        <v>9</v>
      </c>
      <c r="I18" s="11"/>
      <c r="J18" s="8"/>
      <c r="K18" s="12"/>
      <c r="L18" s="8"/>
      <c r="M18" s="8"/>
      <c r="N18" s="8"/>
    </row>
    <row r="19" spans="1:1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12"/>
      <c r="L19" s="8"/>
      <c r="M19" s="8"/>
      <c r="N19" s="8"/>
    </row>
    <row r="20" spans="1:14" ht="25.5" customHeight="1">
      <c r="A20" s="8"/>
      <c r="B20" s="8"/>
      <c r="C20" s="8"/>
      <c r="D20" s="8"/>
      <c r="E20" s="8"/>
      <c r="F20" s="8"/>
      <c r="G20" s="8"/>
      <c r="H20" s="10" t="s">
        <v>10</v>
      </c>
      <c r="I20" s="11"/>
      <c r="J20" s="8"/>
      <c r="K20" s="12"/>
      <c r="L20" s="8"/>
      <c r="M20" s="8"/>
      <c r="N20" s="8"/>
    </row>
    <row r="21" spans="1:14" ht="14.25">
      <c r="A21" s="8"/>
      <c r="B21" s="8"/>
      <c r="C21" s="8"/>
      <c r="D21" s="8"/>
      <c r="E21" s="8"/>
      <c r="F21" s="8"/>
      <c r="G21" s="8"/>
      <c r="H21" s="8"/>
      <c r="I21" s="8"/>
      <c r="J21" s="8"/>
      <c r="K21" s="12"/>
      <c r="L21" s="8"/>
      <c r="M21" s="8"/>
      <c r="N21" s="8"/>
    </row>
    <row r="22" spans="1:14" ht="14.25">
      <c r="A22" s="8"/>
      <c r="B22" s="8"/>
      <c r="C22" s="8"/>
      <c r="D22" s="8"/>
      <c r="E22" s="8"/>
      <c r="F22" s="8"/>
      <c r="G22" s="8"/>
      <c r="H22" s="8"/>
      <c r="I22" s="8"/>
      <c r="J22" s="8"/>
      <c r="K22" s="12"/>
      <c r="L22" s="8"/>
      <c r="M22" s="8"/>
      <c r="N22" s="8"/>
    </row>
    <row r="23" spans="1:14" ht="14.25">
      <c r="A23" s="8"/>
      <c r="B23" s="8"/>
      <c r="C23" s="8"/>
      <c r="D23" s="8"/>
      <c r="E23" s="8"/>
      <c r="F23" s="8"/>
      <c r="G23" s="8"/>
      <c r="H23" s="8"/>
      <c r="I23" s="8"/>
      <c r="J23" s="8"/>
      <c r="K23" s="12"/>
      <c r="L23" s="8"/>
      <c r="M23" s="8"/>
      <c r="N23" s="8"/>
    </row>
    <row r="24" spans="1:14" ht="14.25">
      <c r="A24" s="8"/>
      <c r="B24" s="8"/>
      <c r="C24" s="8"/>
      <c r="D24" s="8"/>
      <c r="E24" s="8"/>
      <c r="F24" s="8"/>
      <c r="G24" s="8"/>
      <c r="H24" s="8"/>
      <c r="I24" s="8"/>
      <c r="J24" s="8"/>
      <c r="K24" s="12"/>
      <c r="L24" s="8"/>
      <c r="M24" s="8"/>
      <c r="N24" s="8"/>
    </row>
    <row r="25" spans="1:14" ht="14.25">
      <c r="A25" s="8"/>
      <c r="B25" s="8"/>
      <c r="C25" s="8"/>
      <c r="D25" s="8"/>
      <c r="E25" s="8"/>
      <c r="F25" s="8"/>
      <c r="G25" s="8"/>
      <c r="H25" s="8"/>
      <c r="I25" s="8"/>
      <c r="J25" s="8"/>
      <c r="K25" s="12"/>
      <c r="L25" s="8"/>
      <c r="M25" s="8"/>
      <c r="N25" s="8"/>
    </row>
    <row r="26" spans="1:14" ht="14.25">
      <c r="A26" s="8"/>
      <c r="B26" s="8"/>
      <c r="C26" s="8"/>
      <c r="D26" s="8"/>
      <c r="E26" s="8"/>
      <c r="F26" s="8"/>
      <c r="G26" s="8"/>
      <c r="H26" s="8"/>
      <c r="I26" s="8"/>
      <c r="J26" s="8"/>
      <c r="K26" s="12"/>
      <c r="L26" s="8"/>
      <c r="M26" s="8"/>
      <c r="N26" s="8"/>
    </row>
    <row r="27" spans="1:14" ht="14.25">
      <c r="A27" s="8"/>
      <c r="B27" s="8"/>
      <c r="C27" s="8"/>
      <c r="D27" s="8"/>
      <c r="E27" s="8"/>
      <c r="F27" s="8"/>
      <c r="G27" s="8"/>
      <c r="H27" s="8"/>
      <c r="I27" s="8"/>
      <c r="J27" s="8"/>
      <c r="K27" s="12"/>
      <c r="L27" s="8"/>
      <c r="M27" s="8"/>
      <c r="N27" s="8"/>
    </row>
    <row r="28" spans="1:14" ht="14.25">
      <c r="A28" s="8"/>
      <c r="B28" s="8"/>
      <c r="C28" s="8"/>
      <c r="D28" s="8"/>
      <c r="E28" s="8"/>
      <c r="F28" s="8"/>
      <c r="G28" s="8"/>
      <c r="H28" s="8"/>
      <c r="I28" s="8"/>
      <c r="J28" s="8"/>
      <c r="K28" s="12"/>
      <c r="L28" s="8"/>
      <c r="M28" s="8"/>
      <c r="N28" s="8"/>
    </row>
    <row r="29" spans="1:14" ht="14.25">
      <c r="A29" s="8"/>
      <c r="B29" s="8"/>
      <c r="C29" s="8"/>
      <c r="D29" s="8"/>
      <c r="E29" s="8"/>
      <c r="F29" s="8"/>
      <c r="G29" s="8"/>
      <c r="H29" s="8"/>
      <c r="I29" s="8"/>
      <c r="J29" s="8"/>
      <c r="K29" s="12"/>
      <c r="L29" s="8"/>
      <c r="M29" s="8"/>
      <c r="N29" s="8"/>
    </row>
    <row r="30" spans="1:14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12"/>
      <c r="L30" s="8"/>
      <c r="M30" s="8"/>
      <c r="N30" s="8"/>
    </row>
  </sheetData>
  <sheetProtection/>
  <printOptions/>
  <pageMargins left="0.75" right="0.75" top="1" bottom="1" header="0.5" footer="0.5"/>
  <pageSetup horizontalDpi="300" verticalDpi="300" orientation="portrait" paperSize="9" r:id="rId5"/>
  <headerFooter alignWithMargins="0">
    <oddHeader>&amp;C&amp;A</oddHeader>
    <oddFooter>&amp;C&amp;P 쪽</oddFooter>
  </headerFooter>
  <drawing r:id="rId4"/>
  <legacyDrawing r:id="rId3"/>
  <oleObjects>
    <oleObject progId="PBrush" shapeId="1329669" r:id="rId1"/>
    <oleObject progId="PBrush" shapeId="737220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RowColHeaders="0" zoomScalePageLayoutView="0" workbookViewId="0" topLeftCell="A1">
      <selection activeCell="I8" sqref="I8"/>
    </sheetView>
  </sheetViews>
  <sheetFormatPr defaultColWidth="9.00390625" defaultRowHeight="14.25"/>
  <cols>
    <col min="1" max="1" width="12.75390625" style="0" customWidth="1"/>
    <col min="8" max="8" width="20.625" style="0" customWidth="1"/>
    <col min="9" max="9" width="11.875" style="0" customWidth="1"/>
    <col min="11" max="11" width="11.375" style="0" customWidth="1"/>
    <col min="13" max="13" width="8.875" style="0" customWidth="1"/>
  </cols>
  <sheetData>
    <row r="1" spans="1:14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4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4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6.25" customHeight="1">
      <c r="A8" s="6"/>
      <c r="B8" s="6"/>
      <c r="C8" s="6"/>
      <c r="D8" s="6"/>
      <c r="E8" s="6"/>
      <c r="F8" s="6"/>
      <c r="G8" s="6"/>
      <c r="H8" s="45" t="s">
        <v>4</v>
      </c>
      <c r="I8" s="47"/>
      <c r="J8" s="6"/>
      <c r="K8" s="6"/>
      <c r="L8" s="6"/>
      <c r="M8" s="6"/>
      <c r="N8" s="6"/>
    </row>
    <row r="9" spans="1:14" ht="5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4.75" customHeight="1">
      <c r="A10" s="6"/>
      <c r="B10" s="6"/>
      <c r="C10" s="6"/>
      <c r="D10" s="6"/>
      <c r="E10" s="6"/>
      <c r="F10" s="6"/>
      <c r="G10" s="6"/>
      <c r="H10" s="46" t="s">
        <v>5</v>
      </c>
      <c r="I10" s="47"/>
      <c r="J10" s="6"/>
      <c r="K10" s="6"/>
      <c r="L10" s="6"/>
      <c r="M10" s="6"/>
      <c r="N10" s="6"/>
    </row>
    <row r="11" spans="1:14" ht="6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4" customHeight="1">
      <c r="A12" s="6"/>
      <c r="B12" s="6"/>
      <c r="C12" s="6"/>
      <c r="D12" s="6"/>
      <c r="E12" s="6"/>
      <c r="F12" s="6"/>
      <c r="G12" s="6"/>
      <c r="H12" s="46" t="s">
        <v>6</v>
      </c>
      <c r="I12" s="47"/>
      <c r="J12" s="6"/>
      <c r="K12" s="6"/>
      <c r="L12" s="6"/>
      <c r="M12" s="6"/>
      <c r="N12" s="6"/>
    </row>
    <row r="13" spans="1:14" ht="6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3.25" customHeight="1">
      <c r="A14" s="6"/>
      <c r="B14" s="6"/>
      <c r="C14" s="6"/>
      <c r="D14" s="6"/>
      <c r="E14" s="6"/>
      <c r="F14" s="6"/>
      <c r="G14" s="6"/>
      <c r="H14" s="46" t="s">
        <v>7</v>
      </c>
      <c r="I14" s="47"/>
      <c r="J14" s="6"/>
      <c r="K14" s="6"/>
      <c r="L14" s="6"/>
      <c r="M14" s="6"/>
      <c r="N14" s="6"/>
    </row>
    <row r="15" spans="1:14" ht="6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3.25" customHeight="1">
      <c r="A16" s="6"/>
      <c r="B16" s="6"/>
      <c r="C16" s="6"/>
      <c r="D16" s="6"/>
      <c r="E16" s="6"/>
      <c r="F16" s="6"/>
      <c r="G16" s="6"/>
      <c r="H16" s="46" t="s">
        <v>8</v>
      </c>
      <c r="I16" s="47"/>
      <c r="J16" s="6"/>
      <c r="K16" s="6"/>
      <c r="L16" s="6"/>
      <c r="M16" s="6"/>
      <c r="N16" s="6"/>
    </row>
    <row r="17" spans="1:14" ht="6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5.5" customHeight="1">
      <c r="A18" s="6"/>
      <c r="B18" s="6"/>
      <c r="C18" s="6"/>
      <c r="D18" s="6"/>
      <c r="E18" s="6"/>
      <c r="F18" s="6"/>
      <c r="G18" s="6"/>
      <c r="H18" s="46"/>
      <c r="I18" s="50"/>
      <c r="J18" s="6"/>
      <c r="K18" s="6"/>
      <c r="L18" s="6"/>
      <c r="M18" s="6"/>
      <c r="N18" s="6"/>
    </row>
    <row r="19" spans="1:14" ht="6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5.5" customHeight="1">
      <c r="A20" s="6"/>
      <c r="B20" s="6"/>
      <c r="C20" s="6"/>
      <c r="D20" s="6"/>
      <c r="E20" s="6"/>
      <c r="F20" s="6"/>
      <c r="G20" s="6"/>
      <c r="H20" s="46"/>
      <c r="I20" s="50"/>
      <c r="J20" s="6"/>
      <c r="K20" s="6"/>
      <c r="L20" s="6"/>
      <c r="M20" s="6"/>
      <c r="N20" s="6"/>
    </row>
    <row r="21" spans="1:14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</sheetData>
  <sheetProtection/>
  <printOptions/>
  <pageMargins left="0.75" right="0.75" top="1" bottom="1" header="0.5" footer="0.5"/>
  <pageSetup horizontalDpi="1200" verticalDpi="1200" orientation="portrait" paperSize="9" r:id="rId6"/>
  <headerFooter alignWithMargins="0">
    <oddHeader>&amp;C&amp;A</oddHeader>
    <oddFooter>&amp;C&amp;P 쪽</oddFooter>
  </headerFooter>
  <drawing r:id="rId5"/>
  <legacyDrawing r:id="rId4"/>
  <oleObjects>
    <oleObject progId="PBrush" shapeId="760488" r:id="rId1"/>
    <oleObject progId="PBrush" shapeId="764724" r:id="rId2"/>
    <oleObject progId="PBrush" shapeId="638379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H8:I20"/>
  <sheetViews>
    <sheetView showGridLines="0" showRowColHeaders="0" zoomScalePageLayoutView="0" workbookViewId="0" topLeftCell="A1">
      <selection activeCell="I8" sqref="I8"/>
    </sheetView>
  </sheetViews>
  <sheetFormatPr defaultColWidth="9.00390625" defaultRowHeight="14.25"/>
  <cols>
    <col min="1" max="1" width="12.75390625" style="52" customWidth="1"/>
    <col min="2" max="7" width="9.00390625" style="52" customWidth="1"/>
    <col min="8" max="8" width="20.625" style="52" customWidth="1"/>
    <col min="9" max="9" width="11.875" style="52" customWidth="1"/>
    <col min="10" max="10" width="9.00390625" style="52" customWidth="1"/>
    <col min="11" max="11" width="11.375" style="52" customWidth="1"/>
    <col min="12" max="12" width="9.00390625" style="52" customWidth="1"/>
    <col min="13" max="13" width="8.875" style="52" customWidth="1"/>
    <col min="14" max="16384" width="9.00390625" style="52" customWidth="1"/>
  </cols>
  <sheetData>
    <row r="7" ht="14.25" customHeight="1"/>
    <row r="8" spans="8:9" ht="26.25" customHeight="1">
      <c r="H8" s="55" t="s">
        <v>4</v>
      </c>
      <c r="I8" s="57"/>
    </row>
    <row r="9" ht="5.25" customHeight="1"/>
    <row r="10" spans="8:9" ht="24.75" customHeight="1">
      <c r="H10" s="56" t="s">
        <v>5</v>
      </c>
      <c r="I10" s="47"/>
    </row>
    <row r="11" ht="6" customHeight="1"/>
    <row r="12" spans="8:9" ht="24" customHeight="1">
      <c r="H12" s="56" t="s">
        <v>6</v>
      </c>
      <c r="I12" s="47"/>
    </row>
    <row r="13" ht="6.75" customHeight="1"/>
    <row r="14" spans="8:9" ht="23.25" customHeight="1">
      <c r="H14" s="54"/>
      <c r="I14" s="53"/>
    </row>
    <row r="15" ht="6.75" customHeight="1"/>
    <row r="16" spans="8:9" ht="23.25" customHeight="1">
      <c r="H16" s="54"/>
      <c r="I16" s="53"/>
    </row>
    <row r="17" ht="6" customHeight="1"/>
    <row r="18" spans="8:9" ht="25.5" customHeight="1">
      <c r="H18" s="54"/>
      <c r="I18" s="53"/>
    </row>
    <row r="19" ht="6.75" customHeight="1"/>
    <row r="20" spans="8:9" ht="25.5" customHeight="1">
      <c r="H20" s="54"/>
      <c r="I20" s="53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 쪽</oddFooter>
  </headerFooter>
  <drawing r:id="rId3"/>
  <legacyDrawing r:id="rId2"/>
  <oleObjects>
    <oleObject progId="PBrush" shapeId="85953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F6:J20"/>
  <sheetViews>
    <sheetView showGridLines="0" showRowColHeaders="0" zoomScalePageLayoutView="0" workbookViewId="0" topLeftCell="A1">
      <selection activeCell="G6" sqref="G6"/>
    </sheetView>
  </sheetViews>
  <sheetFormatPr defaultColWidth="9.00390625" defaultRowHeight="14.25"/>
  <cols>
    <col min="1" max="1" width="12.75390625" style="7" customWidth="1"/>
    <col min="2" max="5" width="9.00390625" style="7" customWidth="1"/>
    <col min="6" max="6" width="20.625" style="7" customWidth="1"/>
    <col min="7" max="7" width="12.125" style="7" customWidth="1"/>
    <col min="8" max="8" width="3.00390625" style="7" customWidth="1"/>
    <col min="9" max="9" width="20.375" style="7" customWidth="1"/>
    <col min="10" max="10" width="12.375" style="7" customWidth="1"/>
    <col min="11" max="11" width="11.375" style="7" customWidth="1"/>
    <col min="12" max="12" width="9.00390625" style="7" customWidth="1"/>
    <col min="13" max="13" width="8.875" style="7" customWidth="1"/>
    <col min="14" max="16384" width="9.00390625" style="7" customWidth="1"/>
  </cols>
  <sheetData>
    <row r="3" ht="22.5" customHeight="1"/>
    <row r="4" ht="45" customHeight="1"/>
    <row r="6" spans="6:7" ht="19.5" customHeight="1">
      <c r="F6" s="58" t="s">
        <v>4</v>
      </c>
      <c r="G6" s="63"/>
    </row>
    <row r="7" ht="8.25" customHeight="1">
      <c r="F7" s="60"/>
    </row>
    <row r="8" spans="6:7" ht="18" customHeight="1">
      <c r="F8" s="58" t="s">
        <v>11</v>
      </c>
      <c r="G8" s="63"/>
    </row>
    <row r="9" ht="5.25" customHeight="1">
      <c r="F9" s="60"/>
    </row>
    <row r="10" spans="6:9" ht="21" customHeight="1">
      <c r="F10" s="61" t="s">
        <v>12</v>
      </c>
      <c r="G10" s="59"/>
      <c r="H10" s="62"/>
      <c r="I10" s="67" t="s">
        <v>13</v>
      </c>
    </row>
    <row r="11" spans="6:9" ht="5.25" customHeight="1">
      <c r="F11" s="60"/>
      <c r="I11" s="60"/>
    </row>
    <row r="12" spans="6:10" ht="18" customHeight="1">
      <c r="F12" s="58" t="s">
        <v>14</v>
      </c>
      <c r="G12" s="66"/>
      <c r="I12" s="58" t="s">
        <v>14</v>
      </c>
      <c r="J12" s="65"/>
    </row>
    <row r="13" spans="6:9" ht="6.75" customHeight="1">
      <c r="F13" s="60"/>
      <c r="I13" s="60"/>
    </row>
    <row r="14" spans="6:10" ht="18" customHeight="1">
      <c r="F14" s="58" t="s">
        <v>15</v>
      </c>
      <c r="G14" s="66"/>
      <c r="I14" s="58" t="s">
        <v>15</v>
      </c>
      <c r="J14" s="64"/>
    </row>
    <row r="15" spans="6:9" ht="6.75" customHeight="1">
      <c r="F15" s="60"/>
      <c r="I15" s="60"/>
    </row>
    <row r="16" spans="6:10" ht="18.75" customHeight="1">
      <c r="F16" s="58" t="s">
        <v>16</v>
      </c>
      <c r="G16" s="66"/>
      <c r="I16" s="58" t="s">
        <v>16</v>
      </c>
      <c r="J16" s="64"/>
    </row>
    <row r="17" spans="6:9" ht="6" customHeight="1">
      <c r="F17" s="60"/>
      <c r="I17" s="60"/>
    </row>
    <row r="18" spans="6:10" ht="18.75" customHeight="1">
      <c r="F18" s="58" t="s">
        <v>17</v>
      </c>
      <c r="G18" s="66"/>
      <c r="I18" s="58" t="s">
        <v>17</v>
      </c>
      <c r="J18" s="64"/>
    </row>
    <row r="19" spans="6:9" ht="6.75" customHeight="1">
      <c r="F19" s="60"/>
      <c r="I19" s="60"/>
    </row>
    <row r="20" spans="6:10" ht="17.25" customHeight="1">
      <c r="F20" s="58" t="s">
        <v>18</v>
      </c>
      <c r="G20" s="66"/>
      <c r="I20" s="58" t="s">
        <v>18</v>
      </c>
      <c r="J20" s="64"/>
    </row>
    <row r="21" ht="14.25" customHeight="1"/>
  </sheetData>
  <sheetProtection/>
  <printOptions/>
  <pageMargins left="0.75" right="0.75" top="1" bottom="1" header="0.5" footer="0.5"/>
  <pageSetup horizontalDpi="1200" verticalDpi="1200" orientation="portrait" paperSize="9" r:id="rId4"/>
  <headerFooter alignWithMargins="0">
    <oddHeader>&amp;C&amp;A</oddHeader>
    <oddFooter>&amp;C&amp;P 쪽</oddFooter>
  </headerFooter>
  <drawing r:id="rId3"/>
  <legacyDrawing r:id="rId2"/>
  <oleObjects>
    <oleObject progId="PBrush" shapeId="179271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showGridLines="0" showRowColHeaders="0" zoomScalePageLayoutView="0" workbookViewId="0" topLeftCell="A7">
      <selection activeCell="H8" sqref="H8"/>
    </sheetView>
  </sheetViews>
  <sheetFormatPr defaultColWidth="9.00390625" defaultRowHeight="14.25"/>
  <cols>
    <col min="5" max="5" width="6.375" style="0" customWidth="1"/>
    <col min="6" max="6" width="4.75390625" style="0" customWidth="1"/>
    <col min="7" max="7" width="20.375" style="0" customWidth="1"/>
    <col min="8" max="8" width="12.125" style="0" customWidth="1"/>
    <col min="9" max="9" width="4.75390625" style="0" customWidth="1"/>
    <col min="10" max="10" width="20.375" style="0" customWidth="1"/>
    <col min="11" max="11" width="12.00390625" style="0" customWidth="1"/>
    <col min="12" max="12" width="1.37890625" style="0" customWidth="1"/>
    <col min="13" max="13" width="10.125" style="0" customWidth="1"/>
  </cols>
  <sheetData>
    <row r="1" spans="1:15" ht="14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4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4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4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4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4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14.2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20.25">
      <c r="A8" s="71"/>
      <c r="B8" s="71"/>
      <c r="C8" s="71"/>
      <c r="D8" s="71"/>
      <c r="E8" s="71"/>
      <c r="F8" s="71"/>
      <c r="G8" s="72" t="s">
        <v>19</v>
      </c>
      <c r="H8" s="73"/>
      <c r="I8" s="74"/>
      <c r="J8" s="72" t="s">
        <v>20</v>
      </c>
      <c r="K8" s="75"/>
      <c r="L8" s="71"/>
      <c r="M8" s="74"/>
      <c r="N8" s="71"/>
      <c r="O8" s="71"/>
    </row>
    <row r="9" spans="1:15" ht="4.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 ht="20.25">
      <c r="A10" s="71"/>
      <c r="B10" s="71"/>
      <c r="C10" s="71"/>
      <c r="D10" s="71"/>
      <c r="E10" s="71"/>
      <c r="F10" s="71"/>
      <c r="G10" s="72" t="s">
        <v>5</v>
      </c>
      <c r="H10" s="73"/>
      <c r="I10" s="71"/>
      <c r="J10" s="72" t="s">
        <v>9</v>
      </c>
      <c r="K10" s="75"/>
      <c r="L10" s="71"/>
      <c r="M10" s="71"/>
      <c r="N10" s="71"/>
      <c r="O10" s="71"/>
    </row>
    <row r="11" spans="1:15" ht="3.7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5" ht="20.25">
      <c r="A12" s="71"/>
      <c r="B12" s="71"/>
      <c r="C12" s="71"/>
      <c r="D12" s="71"/>
      <c r="E12" s="71"/>
      <c r="F12" s="71"/>
      <c r="G12" s="72" t="s">
        <v>6</v>
      </c>
      <c r="H12" s="73"/>
      <c r="I12" s="71"/>
      <c r="J12" s="71"/>
      <c r="K12" s="71"/>
      <c r="L12" s="71"/>
      <c r="M12" s="71"/>
      <c r="N12" s="71"/>
      <c r="O12" s="71"/>
    </row>
    <row r="13" spans="1:15" ht="3.75" customHeight="1">
      <c r="A13" s="71"/>
      <c r="B13" s="71"/>
      <c r="C13" s="71"/>
      <c r="D13" s="71"/>
      <c r="E13" s="71"/>
      <c r="F13" s="71"/>
      <c r="G13" s="72"/>
      <c r="H13" s="71"/>
      <c r="I13" s="71"/>
      <c r="J13" s="71"/>
      <c r="K13" s="71"/>
      <c r="L13" s="71"/>
      <c r="M13" s="71"/>
      <c r="N13" s="71"/>
      <c r="O13" s="71"/>
    </row>
    <row r="14" spans="1:15" ht="20.25">
      <c r="A14" s="71"/>
      <c r="B14" s="71"/>
      <c r="C14" s="71"/>
      <c r="D14" s="71"/>
      <c r="E14" s="71"/>
      <c r="F14" s="71"/>
      <c r="G14" s="72" t="s">
        <v>7</v>
      </c>
      <c r="H14" s="73"/>
      <c r="I14" s="71"/>
      <c r="J14" s="71"/>
      <c r="K14" s="71"/>
      <c r="L14" s="71"/>
      <c r="M14" s="71"/>
      <c r="N14" s="71"/>
      <c r="O14" s="71"/>
    </row>
    <row r="15" spans="1:15" ht="3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1:15" ht="19.5" customHeight="1">
      <c r="A16" s="71"/>
      <c r="B16" s="71"/>
      <c r="C16" s="71"/>
      <c r="D16" s="71"/>
      <c r="E16" s="71"/>
      <c r="F16" s="71"/>
      <c r="G16" s="72" t="s">
        <v>21</v>
      </c>
      <c r="H16" s="73"/>
      <c r="I16" s="71"/>
      <c r="J16" s="71"/>
      <c r="K16" s="71"/>
      <c r="L16" s="71"/>
      <c r="M16" s="71"/>
      <c r="N16" s="71"/>
      <c r="O16" s="71"/>
    </row>
    <row r="17" spans="1:15" ht="3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5" ht="20.25">
      <c r="A18" s="71"/>
      <c r="B18" s="71"/>
      <c r="C18" s="71"/>
      <c r="D18" s="71"/>
      <c r="E18" s="71"/>
      <c r="F18" s="71"/>
      <c r="G18" s="72" t="s">
        <v>22</v>
      </c>
      <c r="H18" s="73"/>
      <c r="I18" s="71"/>
      <c r="J18" s="71"/>
      <c r="K18" s="71"/>
      <c r="L18" s="71"/>
      <c r="M18" s="71"/>
      <c r="N18" s="71"/>
      <c r="O18" s="71"/>
    </row>
    <row r="19" spans="1:15" ht="3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1:15" ht="20.25">
      <c r="A20" s="71"/>
      <c r="B20" s="71"/>
      <c r="C20" s="71"/>
      <c r="D20" s="71"/>
      <c r="E20" s="71"/>
      <c r="F20" s="71"/>
      <c r="G20" s="72" t="s">
        <v>23</v>
      </c>
      <c r="H20" s="73"/>
      <c r="I20" s="71"/>
      <c r="J20" s="71"/>
      <c r="K20" s="71"/>
      <c r="L20" s="71"/>
      <c r="M20" s="71"/>
      <c r="N20" s="71"/>
      <c r="O20" s="71"/>
    </row>
    <row r="21" spans="1:15" ht="3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1:15" ht="20.25">
      <c r="A22" s="71"/>
      <c r="B22" s="71"/>
      <c r="C22" s="71"/>
      <c r="D22" s="71"/>
      <c r="E22" s="71"/>
      <c r="F22" s="71"/>
      <c r="G22" s="72" t="s">
        <v>24</v>
      </c>
      <c r="H22" s="73"/>
      <c r="I22" s="71"/>
      <c r="J22" s="71"/>
      <c r="K22" s="71"/>
      <c r="L22" s="71"/>
      <c r="M22" s="71"/>
      <c r="N22" s="71"/>
      <c r="O22" s="71"/>
    </row>
    <row r="23" spans="1:15" ht="4.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1:15" ht="20.25">
      <c r="A24" s="71"/>
      <c r="B24" s="71"/>
      <c r="C24" s="71"/>
      <c r="D24" s="71"/>
      <c r="E24" s="71"/>
      <c r="F24" s="71"/>
      <c r="G24" s="72" t="s">
        <v>25</v>
      </c>
      <c r="H24" s="75"/>
      <c r="I24" s="71"/>
      <c r="J24" s="71"/>
      <c r="K24" s="71"/>
      <c r="L24" s="71"/>
      <c r="M24" s="71"/>
      <c r="N24" s="71"/>
      <c r="O24" s="71"/>
    </row>
    <row r="25" spans="1:15" ht="4.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1:15" ht="20.25">
      <c r="A26" s="71"/>
      <c r="B26" s="71"/>
      <c r="C26" s="71"/>
      <c r="D26" s="71"/>
      <c r="E26" s="71"/>
      <c r="F26" s="71"/>
      <c r="G26" s="72" t="s">
        <v>8</v>
      </c>
      <c r="H26" s="75"/>
      <c r="I26" s="71"/>
      <c r="J26" s="71"/>
      <c r="K26" s="71"/>
      <c r="L26" s="71"/>
      <c r="M26" s="71"/>
      <c r="N26" s="71"/>
      <c r="O26" s="71"/>
    </row>
    <row r="27" spans="1:15" ht="3.7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1:15" ht="20.25">
      <c r="A28" s="71"/>
      <c r="B28" s="71"/>
      <c r="C28" s="71"/>
      <c r="D28" s="71"/>
      <c r="E28" s="71"/>
      <c r="F28" s="71"/>
      <c r="G28" s="72" t="s">
        <v>9</v>
      </c>
      <c r="H28" s="75"/>
      <c r="I28" s="71"/>
      <c r="J28" s="71"/>
      <c r="K28" s="71"/>
      <c r="L28" s="71"/>
      <c r="M28" s="71"/>
      <c r="N28" s="71"/>
      <c r="O28" s="71"/>
    </row>
    <row r="29" spans="1:15" ht="14.2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1:15" ht="14.2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1:15" ht="14.2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5" ht="14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15" ht="14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</sheetData>
  <sheetProtection/>
  <printOptions/>
  <pageMargins left="0.75" right="0.75" top="1" bottom="1" header="0.5" footer="0.5"/>
  <pageSetup horizontalDpi="1200" verticalDpi="1200" orientation="portrait" paperSize="9" r:id="rId5"/>
  <headerFooter alignWithMargins="0">
    <oddHeader>&amp;C&amp;A</oddHeader>
    <oddFooter>&amp;C&amp;P 쪽</oddFooter>
  </headerFooter>
  <drawing r:id="rId4"/>
  <legacyDrawing r:id="rId3"/>
  <oleObjects>
    <oleObject progId="PBrush" shapeId="496892" r:id="rId1"/>
    <oleObject progId="PBrush" shapeId="502237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Z99"/>
  <sheetViews>
    <sheetView showGridLines="0" showRowColHeaders="0" zoomScalePageLayoutView="0" workbookViewId="0" topLeftCell="A1">
      <selection activeCell="G7" sqref="G7"/>
    </sheetView>
  </sheetViews>
  <sheetFormatPr defaultColWidth="9.00390625" defaultRowHeight="14.25"/>
  <cols>
    <col min="1" max="1" width="4.50390625" style="15" customWidth="1"/>
    <col min="2" max="3" width="9.00390625" style="15" customWidth="1"/>
    <col min="4" max="4" width="3.875" style="15" customWidth="1"/>
    <col min="5" max="7" width="9.00390625" style="15" customWidth="1"/>
    <col min="8" max="8" width="8.75390625" style="15" customWidth="1"/>
    <col min="9" max="9" width="6.875" style="15" customWidth="1"/>
    <col min="10" max="10" width="7.625" style="15" customWidth="1"/>
    <col min="11" max="16384" width="9.00390625" style="15" customWidth="1"/>
  </cols>
  <sheetData>
    <row r="1" spans="1:7" ht="23.25" customHeight="1">
      <c r="A1" s="51" t="s">
        <v>26</v>
      </c>
      <c r="B1" s="14"/>
      <c r="C1" s="14"/>
      <c r="D1" s="14"/>
      <c r="E1" s="14"/>
      <c r="F1" s="14"/>
      <c r="G1" s="14"/>
    </row>
    <row r="2" spans="1:26" ht="14.25">
      <c r="A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4.25">
      <c r="A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4.25">
      <c r="A4" s="16"/>
      <c r="B4" s="13" t="s">
        <v>27</v>
      </c>
      <c r="C4" s="13"/>
      <c r="D4" s="16"/>
      <c r="E4" s="31" t="s">
        <v>28</v>
      </c>
      <c r="F4" s="20" t="s">
        <v>29</v>
      </c>
      <c r="G4" s="20" t="s">
        <v>30</v>
      </c>
      <c r="H4" s="25" t="s">
        <v>31</v>
      </c>
      <c r="I4" s="17"/>
      <c r="J4" s="38"/>
      <c r="K4" s="20" t="s">
        <v>32</v>
      </c>
      <c r="L4" s="21" t="s">
        <v>33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4.25">
      <c r="A5" s="16"/>
      <c r="B5" s="18" t="s">
        <v>34</v>
      </c>
      <c r="C5" s="26">
        <f>$K$6*1번!$I10</f>
        <v>0</v>
      </c>
      <c r="D5" s="16"/>
      <c r="E5" s="32"/>
      <c r="F5" s="20" t="s">
        <v>35</v>
      </c>
      <c r="G5" s="20" t="s">
        <v>36</v>
      </c>
      <c r="H5" s="20" t="s">
        <v>37</v>
      </c>
      <c r="I5" s="37" t="s">
        <v>38</v>
      </c>
      <c r="J5" s="38"/>
      <c r="K5" s="20" t="s">
        <v>37</v>
      </c>
      <c r="L5" s="22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4.25">
      <c r="A6" s="16"/>
      <c r="B6" s="18" t="s">
        <v>39</v>
      </c>
      <c r="C6" s="26" t="e">
        <f>$C$5/1번!$I$12*1번!$I$14</f>
        <v>#DIV/0!</v>
      </c>
      <c r="D6" s="16"/>
      <c r="E6" s="33" t="s">
        <v>40</v>
      </c>
      <c r="F6" s="29">
        <f>1/3*$C$5</f>
        <v>0</v>
      </c>
      <c r="G6" s="29">
        <f>$K$6*1번!$I$10</f>
        <v>0</v>
      </c>
      <c r="H6" s="27">
        <f>1번!$I$8/60</f>
        <v>0</v>
      </c>
      <c r="I6" s="39">
        <f>$K$6*1번!$I$10+$K$6</f>
        <v>0</v>
      </c>
      <c r="J6" s="43">
        <f>($K$6*1번!$I$10+$K$6)*2-$K$6</f>
        <v>0</v>
      </c>
      <c r="K6" s="27">
        <f>1번!$I$8/60</f>
        <v>0</v>
      </c>
      <c r="L6" s="24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4.25">
      <c r="A7" s="16"/>
      <c r="B7" s="19" t="s">
        <v>41</v>
      </c>
      <c r="C7" s="26" t="e">
        <f>$C$6/1번!$I$16*1번!$I$18</f>
        <v>#DIV/0!</v>
      </c>
      <c r="D7" s="16"/>
      <c r="E7" s="34"/>
      <c r="F7" s="30">
        <f>1/2*$C$5</f>
        <v>0</v>
      </c>
      <c r="G7" s="30">
        <f>$K$6*1번!$I$10*2</f>
        <v>0</v>
      </c>
      <c r="H7" s="27">
        <f>1번!$I$8/60*2</f>
        <v>0</v>
      </c>
      <c r="I7" s="40">
        <f>$K$6*1번!$I$10+($K$6*2)</f>
        <v>0</v>
      </c>
      <c r="J7" s="44">
        <f>($K$6*1번!$I$10+($K$6*2))*2-$K$6-$K$6</f>
        <v>0</v>
      </c>
      <c r="K7" s="27">
        <f>1번!$I$8/60*2</f>
        <v>0</v>
      </c>
      <c r="L7" s="23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4.25">
      <c r="A8" s="16"/>
      <c r="B8" s="18" t="s">
        <v>42</v>
      </c>
      <c r="C8" s="26"/>
      <c r="D8" s="16"/>
      <c r="E8" s="34"/>
      <c r="F8" s="30">
        <f>$K$6*1번!$I$10</f>
        <v>0</v>
      </c>
      <c r="G8" s="30">
        <f>$K$6*1번!$I$10*3</f>
        <v>0</v>
      </c>
      <c r="H8" s="27">
        <f>1번!$I$8/60*3</f>
        <v>0</v>
      </c>
      <c r="I8" s="40">
        <f>$K$6*1번!$I$10+($K$6*3)</f>
        <v>0</v>
      </c>
      <c r="J8" s="44">
        <f>($K$6*1번!$I$10+($K$6*3))*2-$K$6-$K$6-$K$6</f>
        <v>0</v>
      </c>
      <c r="K8" s="27">
        <f>1번!$I$8/60*3</f>
        <v>0</v>
      </c>
      <c r="L8" s="23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4.25">
      <c r="A9" s="16"/>
      <c r="B9" s="16"/>
      <c r="C9" s="16"/>
      <c r="D9" s="16"/>
      <c r="E9" s="34"/>
      <c r="F9" s="30">
        <f>$K$6*1번!$I$10*2</f>
        <v>0</v>
      </c>
      <c r="G9" s="30">
        <f>$K$6*1번!$I$10*4</f>
        <v>0</v>
      </c>
      <c r="H9" s="27">
        <f>1번!$I$8/60*4</f>
        <v>0</v>
      </c>
      <c r="I9" s="40">
        <f>$K$6*1번!$I$10+($K$6*4)</f>
        <v>0</v>
      </c>
      <c r="J9" s="44">
        <f>($K$6*1번!$I$10+($K$6*4))*2-($K$6*4)</f>
        <v>0</v>
      </c>
      <c r="K9" s="27">
        <f>1번!$I$8/60*4</f>
        <v>0</v>
      </c>
      <c r="L9" s="23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4.25">
      <c r="A10" s="16"/>
      <c r="B10" s="13" t="s">
        <v>43</v>
      </c>
      <c r="C10" s="13"/>
      <c r="D10"/>
      <c r="E10" s="35"/>
      <c r="F10" s="30">
        <f>$K$6*1번!$I$10*3</f>
        <v>0</v>
      </c>
      <c r="G10" s="30">
        <f>$K$6*1번!$I$10*5</f>
        <v>0</v>
      </c>
      <c r="H10" s="27">
        <f>1번!$I$8/60*5</f>
        <v>0</v>
      </c>
      <c r="I10" s="40">
        <f>$K$6*1번!$I$10+($K$6*5)</f>
        <v>0</v>
      </c>
      <c r="J10" s="44">
        <f>($K$6*1번!$I$10+($K$6*5))*2-(K6*5)</f>
        <v>0</v>
      </c>
      <c r="K10" s="27">
        <f>1번!$I$8/60*5</f>
        <v>0</v>
      </c>
      <c r="L10" s="23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4.25">
      <c r="A11" s="16"/>
      <c r="B11" s="18" t="s">
        <v>44</v>
      </c>
      <c r="C11" s="26">
        <f>1번!$I$8/60</f>
        <v>0</v>
      </c>
      <c r="D11" s="1"/>
      <c r="E11" s="32"/>
      <c r="F11" s="28"/>
      <c r="G11" s="28"/>
      <c r="H11" s="28"/>
      <c r="I11" s="41"/>
      <c r="J11" s="42"/>
      <c r="K11" s="28"/>
      <c r="L11" s="22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4.25">
      <c r="A12" s="16"/>
      <c r="B12" s="18" t="s">
        <v>45</v>
      </c>
      <c r="C12" s="26" t="e">
        <f>$C$5/1번!$I$12</f>
        <v>#DIV/0!</v>
      </c>
      <c r="D12" s="1"/>
      <c r="E12" s="31" t="s">
        <v>46</v>
      </c>
      <c r="F12" s="29" t="e">
        <f>1/3*$C$6</f>
        <v>#DIV/0!</v>
      </c>
      <c r="G12" s="29" t="e">
        <f>$K$6*1번!$I$10/1번!$I$12*1번!$I$14</f>
        <v>#DIV/0!</v>
      </c>
      <c r="H12" s="29" t="e">
        <f>1번!$I$8/60*1번!$I$10/1번!$I$12</f>
        <v>#DIV/0!</v>
      </c>
      <c r="I12" s="27" t="e">
        <f>$K$6*1번!$I$10/1번!$I$12*1번!$I$14+$H$12</f>
        <v>#DIV/0!</v>
      </c>
      <c r="J12" s="27" t="e">
        <f>($K$6*1번!$I$10/1번!$I$12*1번!$I$14+$H$12)*2-$K$12</f>
        <v>#DIV/0!</v>
      </c>
      <c r="K12" s="29" t="e">
        <f>1번!$I$8/60*1번!$I$10/1번!$I$12</f>
        <v>#DIV/0!</v>
      </c>
      <c r="L12" s="24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4.25">
      <c r="A13" s="16"/>
      <c r="B13" s="18" t="s">
        <v>47</v>
      </c>
      <c r="C13" s="26" t="e">
        <f>K12*1번!$I$14/1번!$I$16</f>
        <v>#DIV/0!</v>
      </c>
      <c r="D13" s="1"/>
      <c r="E13" s="34"/>
      <c r="F13" s="30" t="e">
        <f>1/2*$C$6</f>
        <v>#DIV/0!</v>
      </c>
      <c r="G13" s="30" t="e">
        <f>$K$6*1번!$I$10/1번!$I$12*1번!$I$14*2</f>
        <v>#DIV/0!</v>
      </c>
      <c r="H13" s="30" t="e">
        <f>1번!$I$8/60*1번!$I$10/1번!$I$12*2</f>
        <v>#DIV/0!</v>
      </c>
      <c r="I13" s="27" t="e">
        <f>$K$6*1번!$I$10/1번!$I$12*1번!$I$14+$H$12+$H$12</f>
        <v>#DIV/0!</v>
      </c>
      <c r="J13" s="27" t="e">
        <f>($K$6*1번!$I$10/1번!$I$12*1번!$I$14+$H$12+$H$12)*2-$K$12-$K$12</f>
        <v>#DIV/0!</v>
      </c>
      <c r="K13" s="30" t="e">
        <f>1번!$I$8/60*1번!$I$10/1번!$I$12*2</f>
        <v>#DIV/0!</v>
      </c>
      <c r="L13" s="23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4.25">
      <c r="A14" s="16"/>
      <c r="B14" s="18" t="s">
        <v>48</v>
      </c>
      <c r="C14" s="26" t="e">
        <f>K18*1번!$I$18/1번!$I$20</f>
        <v>#DIV/0!</v>
      </c>
      <c r="D14" s="1"/>
      <c r="E14" s="34"/>
      <c r="F14" s="30" t="e">
        <f>$K$6*1번!$I$10/1번!$I$12*1번!$I$14</f>
        <v>#DIV/0!</v>
      </c>
      <c r="G14" s="30" t="e">
        <f>$K$6*1번!$I$10/1번!$I$12*1번!$I$14*3</f>
        <v>#DIV/0!</v>
      </c>
      <c r="H14" s="30" t="e">
        <f>1번!$I$8/60*1번!$I$10/1번!$I$12*3</f>
        <v>#DIV/0!</v>
      </c>
      <c r="I14" s="27" t="e">
        <f>$K$6*1번!$I$10/1번!$I$12*1번!$I$14+$H$12+$H$12+$H$12</f>
        <v>#DIV/0!</v>
      </c>
      <c r="J14" s="27" t="e">
        <f>($K$6*1번!$I$10/1번!$I$12*1번!$I$14+$H$12+$H$12+$H$12)*2-(K12*3)</f>
        <v>#DIV/0!</v>
      </c>
      <c r="K14" s="30" t="e">
        <f>1번!$I$8/60*1번!$I$10/1번!$I$12*3</f>
        <v>#DIV/0!</v>
      </c>
      <c r="L14" s="23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4.25">
      <c r="A15" s="16"/>
      <c r="B15" s="1"/>
      <c r="C15" s="1"/>
      <c r="D15" s="1"/>
      <c r="E15" s="34"/>
      <c r="F15" s="30" t="e">
        <f>$K$6*1번!$I$10/1번!$I$12*1번!$I$14*2</f>
        <v>#DIV/0!</v>
      </c>
      <c r="G15" s="30" t="e">
        <f>$K$6*1번!$I$10/1번!$I$12*1번!$I$14*4</f>
        <v>#DIV/0!</v>
      </c>
      <c r="H15" s="30" t="e">
        <f>1번!$I$8/60*1번!$I$10/1번!$I$12*4</f>
        <v>#DIV/0!</v>
      </c>
      <c r="I15" s="27" t="e">
        <f>$K$6*1번!$I$10/1번!$I$12*1번!$I$14+$H$12+$H$12+$H$12+$H$12</f>
        <v>#DIV/0!</v>
      </c>
      <c r="J15" s="27" t="e">
        <f>($K$6*1번!$I$10/1번!$I$12*1번!$I$14+$H$12+$H$12+$H$12+$H$12)*2-($K$12*4)</f>
        <v>#DIV/0!</v>
      </c>
      <c r="K15" s="30" t="e">
        <f>1번!$I$8/60*1번!$I$10/1번!$I$12*4</f>
        <v>#DIV/0!</v>
      </c>
      <c r="L15" s="23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4.25">
      <c r="A16" s="16"/>
      <c r="B16" s="1"/>
      <c r="C16" s="1"/>
      <c r="D16" s="1"/>
      <c r="E16" s="35"/>
      <c r="F16" s="30" t="e">
        <f>$K$6*1번!$I$10/1번!$I$12*1번!$I$14*3</f>
        <v>#DIV/0!</v>
      </c>
      <c r="G16" s="30" t="e">
        <f>$K$6*1번!$I$10/1번!$I$12*1번!$I$14*5</f>
        <v>#DIV/0!</v>
      </c>
      <c r="H16" s="30" t="e">
        <f>1번!$I$8/60*1번!$I$10/1번!$I$12*5</f>
        <v>#DIV/0!</v>
      </c>
      <c r="I16" s="27" t="e">
        <f>$K$6*1번!$I$10/1번!$I$12*1번!$I$14+$H$12+$H$12+$H$12+$H$12+$H$12</f>
        <v>#DIV/0!</v>
      </c>
      <c r="J16" s="27" t="e">
        <f>($K$6*1번!$I$10/1번!$I$12*1번!$I$14+$H$12+$H$12+$H$12+$H$12+$H$12)*2-(K12*5)</f>
        <v>#DIV/0!</v>
      </c>
      <c r="K16" s="30" t="e">
        <f>1번!$I$8/60*1번!$I$10/1번!$I$12*5</f>
        <v>#DIV/0!</v>
      </c>
      <c r="L16" s="23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4.25">
      <c r="A17" s="16"/>
      <c r="B17" s="1"/>
      <c r="C17" s="1"/>
      <c r="D17" s="1"/>
      <c r="E17" s="32"/>
      <c r="F17" s="28"/>
      <c r="G17" s="28"/>
      <c r="H17" s="28"/>
      <c r="I17" s="27"/>
      <c r="J17" s="42"/>
      <c r="K17" s="28"/>
      <c r="L17" s="22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4.25">
      <c r="A18" s="16"/>
      <c r="B18" s="1"/>
      <c r="C18" s="1"/>
      <c r="D18" s="1"/>
      <c r="E18" s="31" t="s">
        <v>49</v>
      </c>
      <c r="F18" s="29" t="e">
        <f>1/3*$C$7</f>
        <v>#DIV/0!</v>
      </c>
      <c r="G18" s="29" t="e">
        <f>$K$6*1번!$I$10/1번!$I$12*1번!$I$14/1번!$I$16*1번!$I$18</f>
        <v>#DIV/0!</v>
      </c>
      <c r="H18" s="29" t="e">
        <f>9.2*1번!$I$14/1번!$I$16</f>
        <v>#DIV/0!</v>
      </c>
      <c r="I18" s="39" t="e">
        <f>$K$6*1번!$I$10/1번!$I$12*1번!$I$14/1번!$I$16*1번!$I$18+$H$18</f>
        <v>#DIV/0!</v>
      </c>
      <c r="J18" s="43" t="e">
        <f>($K$6*1번!$I$10/1번!$I$12*1번!$I$14/1번!$I$16*1번!$I$18+$H$18)*2-$H$18</f>
        <v>#DIV/0!</v>
      </c>
      <c r="K18" s="29" t="e">
        <f>9.2*1번!$I$14/1번!$I$16</f>
        <v>#DIV/0!</v>
      </c>
      <c r="L18" s="24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4.25">
      <c r="A19" s="16"/>
      <c r="B19" s="1"/>
      <c r="C19" s="1"/>
      <c r="D19" s="1"/>
      <c r="E19" s="34"/>
      <c r="F19" s="30" t="e">
        <f>1/2*$C$7</f>
        <v>#DIV/0!</v>
      </c>
      <c r="G19" s="30" t="e">
        <f>$K$6*1번!$I$10/1번!$I$12*1번!$I$14/1번!$I$16*1번!$I$18*2</f>
        <v>#DIV/0!</v>
      </c>
      <c r="H19" s="30" t="e">
        <f>9.2*1번!$I$14/1번!$I$16*2</f>
        <v>#DIV/0!</v>
      </c>
      <c r="I19" s="40" t="e">
        <f>$K$6*1번!$I$10/1번!$I$12*1번!$I$14/1번!$I$16*1번!$I$18+($H$18*2)</f>
        <v>#DIV/0!</v>
      </c>
      <c r="J19" s="44" t="e">
        <f>($K$6*1번!$I$10/1번!$I$12*1번!$I$14/1번!$I$16*1번!$I$18+$H$18)*2-$H$18+$H$18</f>
        <v>#DIV/0!</v>
      </c>
      <c r="K19" s="30" t="e">
        <f>9.2*1번!$I$14/1번!$I$16*2</f>
        <v>#DIV/0!</v>
      </c>
      <c r="L19" s="23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4.25">
      <c r="A20" s="16"/>
      <c r="B20" s="1"/>
      <c r="C20" s="1"/>
      <c r="D20" s="1"/>
      <c r="E20" s="34"/>
      <c r="F20" s="30" t="e">
        <f>$K$6*1번!$I$10/1번!$I$12*1번!$I$14/1번!$I$16*1번!$I$18</f>
        <v>#DIV/0!</v>
      </c>
      <c r="G20" s="30" t="e">
        <f>$K$6*1번!$I$10/1번!$I$12*1번!$I$14/1번!$I$16*1번!$I$18*3</f>
        <v>#DIV/0!</v>
      </c>
      <c r="H20" s="30" t="e">
        <f>9.2*1번!$I$14/1번!$I$16*3</f>
        <v>#DIV/0!</v>
      </c>
      <c r="I20" s="40" t="e">
        <f>$K$6*1번!$I$10/1번!$I$12*1번!$I$14/1번!$I$16*1번!$I$18+($H$18*3)</f>
        <v>#DIV/0!</v>
      </c>
      <c r="J20" s="44" t="e">
        <f>($K$6*1번!$I$10/1번!$I$12*1번!$I$14/1번!$I$16*1번!$I$18+$H$18)*2-$H$18+$H$18+$H$18</f>
        <v>#DIV/0!</v>
      </c>
      <c r="K20" s="30" t="e">
        <f>9.2*1번!$I$14/1번!$I$16*3</f>
        <v>#DIV/0!</v>
      </c>
      <c r="L20" s="23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4.25">
      <c r="A21" s="16"/>
      <c r="B21" s="1"/>
      <c r="C21" s="1"/>
      <c r="D21" s="1"/>
      <c r="E21" s="34"/>
      <c r="F21" s="30" t="e">
        <f>$K$6*1번!$I$10/1번!$I$12*1번!$I$14/1번!$I$16*1번!$I$18*2</f>
        <v>#DIV/0!</v>
      </c>
      <c r="G21" s="30" t="e">
        <f>$K$6*1번!$I$10/1번!$I$12*1번!$I$14/1번!$I$16*1번!$I$18*4</f>
        <v>#DIV/0!</v>
      </c>
      <c r="H21" s="30" t="e">
        <f>9.2*1번!$I$14/1번!$I$16*4</f>
        <v>#DIV/0!</v>
      </c>
      <c r="I21" s="40" t="e">
        <f>$K$6*1번!$I$10/1번!$I$12*1번!$I$14/1번!$I$16*1번!$I$18+($H$18*4)</f>
        <v>#DIV/0!</v>
      </c>
      <c r="J21" s="44" t="e">
        <f>($K$6*1번!$I$10/1번!$I$12*1번!$I$14/1번!$I$16*1번!$I$18+$H$18)*2-$H$18+$H$18+$H$18+$H$18</f>
        <v>#DIV/0!</v>
      </c>
      <c r="K21" s="30" t="e">
        <f>9.2*1번!$I$14/1번!$I$16*4</f>
        <v>#DIV/0!</v>
      </c>
      <c r="L21" s="23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4.25">
      <c r="A22" s="16"/>
      <c r="B22" s="1"/>
      <c r="C22" s="1"/>
      <c r="D22" s="1"/>
      <c r="E22" s="34"/>
      <c r="F22" s="30" t="e">
        <f>$K$6*1번!$I$10/1번!$I$12*1번!$I$14/1번!$I$16*1번!$I$18*3</f>
        <v>#DIV/0!</v>
      </c>
      <c r="G22" s="30" t="e">
        <f>$K$6*1번!$I$10/1번!$I$12*1번!$I$14/1번!$I$16*1번!$I$18*5</f>
        <v>#DIV/0!</v>
      </c>
      <c r="H22" s="30" t="e">
        <f>9.2*1번!$I$14/1번!$I$16*5</f>
        <v>#DIV/0!</v>
      </c>
      <c r="I22" s="40" t="e">
        <f>$K$6*1번!$I$10/1번!$I$12*1번!$I$14/1번!$I$16*1번!$I$18+($H$18*5)</f>
        <v>#DIV/0!</v>
      </c>
      <c r="J22" s="44" t="e">
        <f>($K$6*1번!$I$10/1번!$I$12*1번!$I$14/1번!$I$16*1번!$I$18+$H$18)*2-$H$18+$H$18+$H$18+$H$18+$H$18</f>
        <v>#DIV/0!</v>
      </c>
      <c r="K22" s="30" t="e">
        <f>9.2*1번!$I$14/1번!$I$16*5</f>
        <v>#DIV/0!</v>
      </c>
      <c r="L22" s="23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4.25">
      <c r="A23" s="16"/>
      <c r="B23" s="1"/>
      <c r="C23" s="1"/>
      <c r="D23" s="1"/>
      <c r="E23" s="36"/>
      <c r="F23" s="28"/>
      <c r="G23" s="28"/>
      <c r="H23" s="28"/>
      <c r="I23" s="41"/>
      <c r="J23" s="42"/>
      <c r="K23" s="28"/>
      <c r="L23" s="22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4.25">
      <c r="A24" s="16"/>
      <c r="B24" s="1"/>
      <c r="C24" s="1"/>
      <c r="D24" s="1"/>
      <c r="E24" s="1"/>
      <c r="F24" s="1"/>
      <c r="G24" s="1"/>
      <c r="H24" s="1"/>
      <c r="I24" s="1"/>
      <c r="J24" s="1"/>
      <c r="K24" s="1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4.25">
      <c r="A25" s="16"/>
      <c r="B25" s="1"/>
      <c r="C25" s="1"/>
      <c r="D25" s="1"/>
      <c r="E25" s="1"/>
      <c r="F25" s="1"/>
      <c r="G25" s="1"/>
      <c r="H25" s="1"/>
      <c r="I25" s="1"/>
      <c r="J25" s="1"/>
      <c r="K25" s="1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4.25">
      <c r="A26" s="16"/>
      <c r="B26" s="1"/>
      <c r="C26" s="1"/>
      <c r="D26" s="1"/>
      <c r="E26" s="1"/>
      <c r="F26" s="1"/>
      <c r="G26" s="1"/>
      <c r="H26" s="1"/>
      <c r="I26" s="1"/>
      <c r="J26" s="1"/>
      <c r="K26" s="1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4.25">
      <c r="A27" s="16"/>
      <c r="B27" s="1"/>
      <c r="C27" s="1"/>
      <c r="D27" s="1"/>
      <c r="E27" s="1"/>
      <c r="F27" s="1"/>
      <c r="G27" s="1"/>
      <c r="H27" s="1"/>
      <c r="I27" s="1"/>
      <c r="J27" s="1"/>
      <c r="K27" s="1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4.25">
      <c r="A28" s="16"/>
      <c r="B28" s="1"/>
      <c r="C28" s="1"/>
      <c r="D28" s="1"/>
      <c r="E28" s="1"/>
      <c r="F28" s="1"/>
      <c r="G28" s="1"/>
      <c r="H28" s="1"/>
      <c r="I28" s="1"/>
      <c r="J28" s="1"/>
      <c r="K28" s="1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4.25">
      <c r="A29" s="16"/>
      <c r="B29" s="1"/>
      <c r="C29" s="1"/>
      <c r="D29" s="1"/>
      <c r="E29" s="1"/>
      <c r="F29" s="1"/>
      <c r="G29" s="1"/>
      <c r="H29" s="1"/>
      <c r="I29" s="1"/>
      <c r="J29" s="1"/>
      <c r="K29" s="1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4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4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4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4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4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4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4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4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4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4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4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4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4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4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4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4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4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4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4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4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4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4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4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4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4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4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4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4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4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4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4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4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4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4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4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4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4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4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4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4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4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4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4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4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4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4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4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4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4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4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4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4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4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4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4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4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4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4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4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4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4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4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4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4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4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4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4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4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4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</sheetData>
  <sheetProtection/>
  <printOptions/>
  <pageMargins left="0.75" right="0.75" top="1" bottom="1" header="0.5" footer="0.5"/>
  <pageSetup horizontalDpi="300" verticalDpi="300" orientation="landscape" paperSize="9" r:id="rId3"/>
  <headerFooter alignWithMargins="0">
    <oddFooter>&amp;C공무설계진단기술팀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GEAR분석</dc:title>
  <dc:subject/>
  <dc:creator>박태경</dc:creator>
  <cp:keywords/>
  <dc:description/>
  <cp:lastModifiedBy>so hwan</cp:lastModifiedBy>
  <cp:lastPrinted>2002-09-30T04:53:49Z</cp:lastPrinted>
  <dcterms:modified xsi:type="dcterms:W3CDTF">2011-04-18T01:13:54Z</dcterms:modified>
  <cp:category/>
  <cp:version/>
  <cp:contentType/>
  <cp:contentStatus/>
</cp:coreProperties>
</file>